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defaultThemeVersion="124226"/>
  <bookViews>
    <workbookView xWindow="708" yWindow="-12" windowWidth="14076" windowHeight="8376" tabRatio="518" firstSheet="2" activeTab="3"/>
  </bookViews>
  <sheets>
    <sheet name="Лист1" sheetId="1" r:id="rId1"/>
    <sheet name="Лекомцев" sheetId="2" r:id="rId2"/>
    <sheet name="сравнение по квитанции" sheetId="4" r:id="rId3"/>
    <sheet name="Отчет" sheetId="3" r:id="rId4"/>
  </sheets>
  <definedNames>
    <definedName name="_xlnm.Print_Area" localSheetId="3">Отчет!$A$1:$AM$35</definedName>
    <definedName name="_xlnm.Print_Area" localSheetId="2">'сравнение по квитанции'!$A$2:$G$42</definedName>
  </definedNames>
  <calcPr calcId="145621"/>
</workbook>
</file>

<file path=xl/calcChain.xml><?xml version="1.0" encoding="utf-8"?>
<calcChain xmlns="http://schemas.openxmlformats.org/spreadsheetml/2006/main">
  <c r="AX33" i="3"/>
  <c r="AX32"/>
  <c r="AX31"/>
  <c r="AX30"/>
  <c r="AX29"/>
  <c r="AX27"/>
  <c r="AX26"/>
  <c r="AX24"/>
  <c r="AX8"/>
  <c r="CK14" l="1"/>
  <c r="CK12"/>
  <c r="CJ14"/>
  <c r="CJ12"/>
  <c r="CC8"/>
  <c r="BR14"/>
  <c r="BR12"/>
  <c r="BR11"/>
  <c r="BP14"/>
  <c r="BQ14"/>
  <c r="BO14"/>
  <c r="BP12"/>
  <c r="BQ12"/>
  <c r="BO12"/>
  <c r="BG33"/>
  <c r="BG32"/>
  <c r="BG31"/>
  <c r="BG30"/>
  <c r="BG29"/>
  <c r="BG27"/>
  <c r="BG21" s="1"/>
  <c r="BG26"/>
  <c r="BG24"/>
  <c r="BG8"/>
  <c r="BM33"/>
  <c r="BM32"/>
  <c r="BM31"/>
  <c r="BM30"/>
  <c r="BM29"/>
  <c r="BM27"/>
  <c r="BM26"/>
  <c r="BM24"/>
  <c r="BM20"/>
  <c r="BM17" s="1"/>
  <c r="BM8"/>
  <c r="BL33"/>
  <c r="BL32"/>
  <c r="BL31"/>
  <c r="BL30"/>
  <c r="BL29"/>
  <c r="BL27"/>
  <c r="BL26"/>
  <c r="BL21" s="1"/>
  <c r="BL24"/>
  <c r="BL8"/>
  <c r="BK33"/>
  <c r="BK31"/>
  <c r="BK30"/>
  <c r="BK27"/>
  <c r="BK26"/>
  <c r="BK8"/>
  <c r="BJ33"/>
  <c r="BJ32"/>
  <c r="BJ31"/>
  <c r="BJ30"/>
  <c r="BJ29"/>
  <c r="BJ27"/>
  <c r="BJ26"/>
  <c r="BJ24"/>
  <c r="BJ21" s="1"/>
  <c r="BJ8"/>
  <c r="BN33"/>
  <c r="BN32"/>
  <c r="BN31"/>
  <c r="BN30"/>
  <c r="BN29"/>
  <c r="BN27"/>
  <c r="BN26"/>
  <c r="BN21" s="1"/>
  <c r="BN19"/>
  <c r="BN24"/>
  <c r="BN8"/>
  <c r="AP33"/>
  <c r="AP32"/>
  <c r="AP31"/>
  <c r="AP30"/>
  <c r="AP29"/>
  <c r="AP27"/>
  <c r="AP26"/>
  <c r="AP24"/>
  <c r="AP8"/>
  <c r="AX21"/>
  <c r="AY21"/>
  <c r="AZ21"/>
  <c r="BA21"/>
  <c r="BB21"/>
  <c r="BC21"/>
  <c r="BD21"/>
  <c r="BE21"/>
  <c r="BF21"/>
  <c r="BH21"/>
  <c r="BI21"/>
  <c r="AX17"/>
  <c r="AX15" s="1"/>
  <c r="AY17"/>
  <c r="AZ17"/>
  <c r="BA17"/>
  <c r="BB17"/>
  <c r="BB15" s="1"/>
  <c r="BC17"/>
  <c r="BD17"/>
  <c r="BE17"/>
  <c r="BF17"/>
  <c r="BG17"/>
  <c r="BH17"/>
  <c r="BI17"/>
  <c r="BJ17"/>
  <c r="BK17"/>
  <c r="BL17"/>
  <c r="BN17"/>
  <c r="AX14"/>
  <c r="AY14"/>
  <c r="AZ14"/>
  <c r="BA14"/>
  <c r="BB14"/>
  <c r="BC14"/>
  <c r="BD14"/>
  <c r="BE14"/>
  <c r="BF14"/>
  <c r="BG14"/>
  <c r="BH14"/>
  <c r="BI14"/>
  <c r="BJ14"/>
  <c r="BK14"/>
  <c r="BL14"/>
  <c r="BM14"/>
  <c r="BN14"/>
  <c r="AX12"/>
  <c r="AY12"/>
  <c r="AZ12"/>
  <c r="BA12"/>
  <c r="BB12"/>
  <c r="BC12"/>
  <c r="BD12"/>
  <c r="BE12"/>
  <c r="BF12"/>
  <c r="BG12"/>
  <c r="BH12"/>
  <c r="BI12"/>
  <c r="BJ12"/>
  <c r="BK12"/>
  <c r="BL12"/>
  <c r="BM12"/>
  <c r="BN12"/>
  <c r="AX11"/>
  <c r="AY11"/>
  <c r="AZ11"/>
  <c r="BA11"/>
  <c r="BB11"/>
  <c r="BC11"/>
  <c r="BD11"/>
  <c r="BE11"/>
  <c r="BF11"/>
  <c r="BG11"/>
  <c r="BH11"/>
  <c r="BI11"/>
  <c r="BJ11"/>
  <c r="BK11"/>
  <c r="BL11"/>
  <c r="BM11"/>
  <c r="BN11"/>
  <c r="AN14"/>
  <c r="AN12"/>
  <c r="AO12"/>
  <c r="AP12"/>
  <c r="AQ12"/>
  <c r="AM12"/>
  <c r="AO14"/>
  <c r="AP14"/>
  <c r="AQ14"/>
  <c r="AM14"/>
  <c r="AM21"/>
  <c r="AN21"/>
  <c r="AO21"/>
  <c r="AQ21"/>
  <c r="AM17"/>
  <c r="AN17"/>
  <c r="AO17"/>
  <c r="AP17"/>
  <c r="AQ17"/>
  <c r="AM11"/>
  <c r="AN11"/>
  <c r="AO11"/>
  <c r="AP11"/>
  <c r="AQ11"/>
  <c r="AK17"/>
  <c r="AK21"/>
  <c r="AJ21"/>
  <c r="AJ17"/>
  <c r="AJ14"/>
  <c r="AJ12"/>
  <c r="AJ11"/>
  <c r="AH33"/>
  <c r="AH32"/>
  <c r="AH31"/>
  <c r="AH30"/>
  <c r="AH29"/>
  <c r="AH27"/>
  <c r="AH26"/>
  <c r="AH24"/>
  <c r="AH8"/>
  <c r="AF21"/>
  <c r="AG21"/>
  <c r="AI21"/>
  <c r="AE17"/>
  <c r="AF17"/>
  <c r="AG17"/>
  <c r="AH17"/>
  <c r="AI17"/>
  <c r="AF14"/>
  <c r="AG14"/>
  <c r="AH14"/>
  <c r="AI14"/>
  <c r="AF12"/>
  <c r="AG12"/>
  <c r="AH12"/>
  <c r="AI12"/>
  <c r="AF11"/>
  <c r="AG11"/>
  <c r="AH11"/>
  <c r="AI11"/>
  <c r="AE21"/>
  <c r="AE14"/>
  <c r="AC21"/>
  <c r="AD21"/>
  <c r="AB21"/>
  <c r="AB14"/>
  <c r="AC14"/>
  <c r="AD14"/>
  <c r="Z21"/>
  <c r="Z17"/>
  <c r="Z14"/>
  <c r="Y21"/>
  <c r="Y17"/>
  <c r="Y14"/>
  <c r="Y12"/>
  <c r="Y11"/>
  <c r="X21"/>
  <c r="X17"/>
  <c r="X15" s="1"/>
  <c r="V33"/>
  <c r="V32"/>
  <c r="V31"/>
  <c r="V30"/>
  <c r="V29"/>
  <c r="V27"/>
  <c r="V26"/>
  <c r="V24"/>
  <c r="V19"/>
  <c r="V8"/>
  <c r="AA21"/>
  <c r="AA17"/>
  <c r="X14"/>
  <c r="AA14"/>
  <c r="W14"/>
  <c r="AK11"/>
  <c r="W21"/>
  <c r="W17"/>
  <c r="W12"/>
  <c r="W11"/>
  <c r="V17"/>
  <c r="V14"/>
  <c r="V12"/>
  <c r="V11"/>
  <c r="U33"/>
  <c r="U32"/>
  <c r="U31"/>
  <c r="U30"/>
  <c r="U29"/>
  <c r="U27"/>
  <c r="U26"/>
  <c r="U24"/>
  <c r="U8"/>
  <c r="T33"/>
  <c r="T32"/>
  <c r="T31"/>
  <c r="T30"/>
  <c r="T29"/>
  <c r="T27"/>
  <c r="T26"/>
  <c r="T24"/>
  <c r="T8"/>
  <c r="T17"/>
  <c r="U17"/>
  <c r="T14"/>
  <c r="U14"/>
  <c r="T12"/>
  <c r="U12"/>
  <c r="T11"/>
  <c r="U11"/>
  <c r="S21"/>
  <c r="S17"/>
  <c r="S14"/>
  <c r="S11"/>
  <c r="R33"/>
  <c r="R32"/>
  <c r="R31"/>
  <c r="R30"/>
  <c r="R29"/>
  <c r="R27"/>
  <c r="R26"/>
  <c r="R24"/>
  <c r="R17"/>
  <c r="R11"/>
  <c r="R8"/>
  <c r="Q33"/>
  <c r="Q32"/>
  <c r="Q31"/>
  <c r="Q30"/>
  <c r="Q29"/>
  <c r="Q27"/>
  <c r="Q26"/>
  <c r="Q24"/>
  <c r="Q17"/>
  <c r="R14"/>
  <c r="Q14"/>
  <c r="S12"/>
  <c r="R12"/>
  <c r="Q12"/>
  <c r="G14"/>
  <c r="H11"/>
  <c r="Q8"/>
  <c r="Q11"/>
  <c r="P33"/>
  <c r="P32"/>
  <c r="P31"/>
  <c r="P30"/>
  <c r="P29"/>
  <c r="P27"/>
  <c r="P26"/>
  <c r="P24"/>
  <c r="P17"/>
  <c r="P14"/>
  <c r="P12"/>
  <c r="P8"/>
  <c r="O21"/>
  <c r="O15" s="1"/>
  <c r="O11"/>
  <c r="O12"/>
  <c r="O14"/>
  <c r="P11"/>
  <c r="AL11"/>
  <c r="AB17"/>
  <c r="AC17"/>
  <c r="AD17"/>
  <c r="AL17"/>
  <c r="AL21"/>
  <c r="L14"/>
  <c r="I24"/>
  <c r="I17"/>
  <c r="I33"/>
  <c r="I32"/>
  <c r="I31"/>
  <c r="I30"/>
  <c r="I29"/>
  <c r="I27"/>
  <c r="I26"/>
  <c r="I12"/>
  <c r="I8"/>
  <c r="BQ11"/>
  <c r="CI11"/>
  <c r="BO11"/>
  <c r="BP11"/>
  <c r="CJ11"/>
  <c r="CK11"/>
  <c r="CJ17"/>
  <c r="CK17"/>
  <c r="CL17"/>
  <c r="CL16" s="1"/>
  <c r="CJ21"/>
  <c r="CK21"/>
  <c r="CL21"/>
  <c r="AW21"/>
  <c r="AW17"/>
  <c r="AW14"/>
  <c r="AW12"/>
  <c r="AW11"/>
  <c r="AV21"/>
  <c r="AV17"/>
  <c r="AV14"/>
  <c r="AV12"/>
  <c r="AV11"/>
  <c r="AU21"/>
  <c r="AU17"/>
  <c r="AU14"/>
  <c r="AU12"/>
  <c r="AU11"/>
  <c r="AT21"/>
  <c r="AT17"/>
  <c r="AT14"/>
  <c r="AT12"/>
  <c r="AS21"/>
  <c r="AS17"/>
  <c r="AR21"/>
  <c r="AR17"/>
  <c r="AR11"/>
  <c r="N21"/>
  <c r="N17"/>
  <c r="M21"/>
  <c r="M17"/>
  <c r="L21"/>
  <c r="L17"/>
  <c r="K21"/>
  <c r="K17"/>
  <c r="G21"/>
  <c r="G17"/>
  <c r="J21"/>
  <c r="J17"/>
  <c r="H21"/>
  <c r="H17"/>
  <c r="H15" s="1"/>
  <c r="BK21" l="1"/>
  <c r="AH21"/>
  <c r="T21"/>
  <c r="T15" s="1"/>
  <c r="AY15"/>
  <c r="V21"/>
  <c r="AM15"/>
  <c r="AP21"/>
  <c r="AP15" s="1"/>
  <c r="BM21"/>
  <c r="BM15" s="1"/>
  <c r="U21"/>
  <c r="BF15"/>
  <c r="AC15"/>
  <c r="Q21"/>
  <c r="Q15" s="1"/>
  <c r="R21"/>
  <c r="R15" s="1"/>
  <c r="AK15"/>
  <c r="AN15"/>
  <c r="AT15"/>
  <c r="I21"/>
  <c r="I15" s="1"/>
  <c r="P21"/>
  <c r="P15" s="1"/>
  <c r="AF15"/>
  <c r="BI15"/>
  <c r="BE15"/>
  <c r="AR16"/>
  <c r="BJ15"/>
  <c r="BN15"/>
  <c r="AQ15"/>
  <c r="BL15"/>
  <c r="BH15"/>
  <c r="BD15"/>
  <c r="BA15"/>
  <c r="BK15"/>
  <c r="BG15"/>
  <c r="BC15"/>
  <c r="AZ15"/>
  <c r="AO15"/>
  <c r="AJ15"/>
  <c r="AI15"/>
  <c r="AH15"/>
  <c r="AG15"/>
  <c r="AE15"/>
  <c r="AD15"/>
  <c r="AB15"/>
  <c r="AA15"/>
  <c r="Y15"/>
  <c r="Z15"/>
  <c r="Z16"/>
  <c r="W15"/>
  <c r="V15"/>
  <c r="U15"/>
  <c r="S15"/>
  <c r="CK16"/>
  <c r="AL15"/>
  <c r="AB16"/>
  <c r="CJ16"/>
  <c r="AA16"/>
  <c r="AW15"/>
  <c r="AV15"/>
  <c r="AU15"/>
  <c r="AS15"/>
  <c r="AR15"/>
  <c r="G15"/>
  <c r="N15"/>
  <c r="M15"/>
  <c r="L15"/>
  <c r="K15"/>
  <c r="J15"/>
  <c r="F29"/>
  <c r="F30"/>
  <c r="F31"/>
  <c r="F33"/>
  <c r="F27"/>
  <c r="E29" s="1"/>
  <c r="F26"/>
  <c r="F23"/>
  <c r="F24"/>
  <c r="F25"/>
  <c r="F20"/>
  <c r="F22"/>
  <c r="F18"/>
  <c r="F19"/>
  <c r="F13"/>
  <c r="F9"/>
  <c r="F8"/>
  <c r="AT11"/>
  <c r="M11"/>
  <c r="L11"/>
  <c r="K11"/>
  <c r="J11"/>
  <c r="I11"/>
  <c r="N11"/>
  <c r="AS11"/>
  <c r="D29" i="4"/>
  <c r="D30"/>
  <c r="D31"/>
  <c r="D32"/>
  <c r="D33"/>
  <c r="D34"/>
  <c r="D35"/>
  <c r="D37"/>
  <c r="G29"/>
  <c r="G30"/>
  <c r="G31"/>
  <c r="G32"/>
  <c r="G33"/>
  <c r="G34"/>
  <c r="G35"/>
  <c r="G37"/>
  <c r="B31"/>
  <c r="G11"/>
  <c r="G18" s="1"/>
  <c r="G12"/>
  <c r="G13"/>
  <c r="G14"/>
  <c r="G15"/>
  <c r="G16"/>
  <c r="G17"/>
  <c r="D18"/>
  <c r="J16" i="3" l="1"/>
  <c r="F21"/>
  <c r="F17"/>
  <c r="G11" l="1"/>
  <c r="F15"/>
  <c r="F16"/>
  <c r="AB11"/>
  <c r="AB12"/>
  <c r="AD11"/>
  <c r="AD12"/>
  <c r="Z11"/>
  <c r="Z12"/>
  <c r="AE11"/>
  <c r="AE12"/>
  <c r="X11"/>
  <c r="X12"/>
  <c r="AA12"/>
  <c r="AA11"/>
  <c r="AC12"/>
  <c r="AC11"/>
  <c r="BS14"/>
  <c r="BS12"/>
  <c r="BS11"/>
  <c r="BT11"/>
  <c r="BT14"/>
  <c r="BT12"/>
  <c r="BU11"/>
  <c r="BU12"/>
  <c r="BU14"/>
  <c r="BV14"/>
  <c r="BV12"/>
  <c r="BV11"/>
  <c r="BW11"/>
  <c r="BW12"/>
  <c r="BW14"/>
  <c r="F14" s="1"/>
  <c r="BX14"/>
  <c r="BX12"/>
  <c r="BX11"/>
  <c r="BY14"/>
  <c r="BY11"/>
  <c r="BY12"/>
  <c r="BZ11"/>
  <c r="BZ14"/>
  <c r="BZ12"/>
  <c r="CA11"/>
  <c r="CA14"/>
  <c r="CA12"/>
  <c r="CB11"/>
  <c r="CB12"/>
  <c r="CB14"/>
  <c r="CC11"/>
  <c r="F11" s="1"/>
  <c r="CC14"/>
  <c r="CC12"/>
  <c r="CD14"/>
  <c r="CD11"/>
  <c r="CD12"/>
  <c r="CE14"/>
  <c r="CE11"/>
  <c r="CE12"/>
  <c r="CF11"/>
  <c r="CF14"/>
  <c r="CF12"/>
  <c r="CG14"/>
  <c r="CG11"/>
  <c r="CG12"/>
  <c r="CH14"/>
  <c r="CH11"/>
  <c r="CH12"/>
  <c r="CL11"/>
  <c r="CL14"/>
  <c r="CL12"/>
  <c r="F10"/>
  <c r="F12" l="1"/>
</calcChain>
</file>

<file path=xl/comments1.xml><?xml version="1.0" encoding="utf-8"?>
<comments xmlns="http://schemas.openxmlformats.org/spreadsheetml/2006/main">
  <authors>
    <author>user</author>
  </authors>
  <commentList>
    <comment ref="F21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281221-кап.рем.к-маркса,10 отнесен на тек.ремонт</t>
        </r>
      </text>
    </comment>
  </commentList>
</comments>
</file>

<file path=xl/sharedStrings.xml><?xml version="1.0" encoding="utf-8"?>
<sst xmlns="http://schemas.openxmlformats.org/spreadsheetml/2006/main" count="317" uniqueCount="260">
  <si>
    <t>№п/п</t>
  </si>
  <si>
    <t>Статьи затрат</t>
  </si>
  <si>
    <t>1.</t>
  </si>
  <si>
    <t>1.1.</t>
  </si>
  <si>
    <t>Бажова, 9</t>
  </si>
  <si>
    <t>Бажова, 20</t>
  </si>
  <si>
    <t>Бажова, 22</t>
  </si>
  <si>
    <t>Победы, 19</t>
  </si>
  <si>
    <t>Победы, 22</t>
  </si>
  <si>
    <t>Победы, 23</t>
  </si>
  <si>
    <t>Победы, 22а</t>
  </si>
  <si>
    <t>Победы, 22б</t>
  </si>
  <si>
    <t>Челюскинцев, 9</t>
  </si>
  <si>
    <t>Челюскинцев, 12</t>
  </si>
  <si>
    <t>Ломоно-сова,14</t>
  </si>
  <si>
    <t>Победы, 18</t>
  </si>
  <si>
    <t>Победы, 10</t>
  </si>
  <si>
    <t>Победы, 12</t>
  </si>
  <si>
    <t>Победы, 14</t>
  </si>
  <si>
    <t>Победы, 15</t>
  </si>
  <si>
    <t>Победы, 16</t>
  </si>
  <si>
    <t>Победы, 20</t>
  </si>
  <si>
    <t>Победы, 27</t>
  </si>
  <si>
    <t>Победы, 29</t>
  </si>
  <si>
    <t>Победы, 31</t>
  </si>
  <si>
    <t>Победы, 33</t>
  </si>
  <si>
    <t>Бажова, 15</t>
  </si>
  <si>
    <t>Крылова, 25</t>
  </si>
  <si>
    <t>Крылова, 29</t>
  </si>
  <si>
    <t>Крылова, 37</t>
  </si>
  <si>
    <t>Бажова, 28</t>
  </si>
  <si>
    <t>Дезинсекция помещений против тараканов</t>
  </si>
  <si>
    <t>Наименование услуг</t>
  </si>
  <si>
    <t>Адрес</t>
  </si>
  <si>
    <t>Месяц 2008г.</t>
  </si>
  <si>
    <t>Примечание</t>
  </si>
  <si>
    <t>Сч.ф 527 от 29 апреля2008г.</t>
  </si>
  <si>
    <t>Бажова,3</t>
  </si>
  <si>
    <t>Акт вып.раб.от 21февраля 2008г.</t>
  </si>
  <si>
    <t>Ремонт подьездов</t>
  </si>
  <si>
    <t>Победы,22б</t>
  </si>
  <si>
    <t>Акт вып.раб.от 25 июня 2008г.</t>
  </si>
  <si>
    <t>Сумма руб.с НДС</t>
  </si>
  <si>
    <t>Сч.ф от 25 июня 2008г.</t>
  </si>
  <si>
    <t>Садовая,8,10,12</t>
  </si>
  <si>
    <t>35938 б.НДС</t>
  </si>
  <si>
    <t>Сч.№0000028 от 31.07.2008г.</t>
  </si>
  <si>
    <t>Текущий ремонт отопления в домах,Сад.8-ремонт водостока</t>
  </si>
  <si>
    <t xml:space="preserve">2м-он 1,2,3,4,5,6,7,8,9,10,11,12,13,16    </t>
  </si>
  <si>
    <t>Бажова 15,19,21</t>
  </si>
  <si>
    <t>Победы 27,29,31,33</t>
  </si>
  <si>
    <t>Акт вып.раб.июля  2008г.</t>
  </si>
  <si>
    <t>Ломоносова, 14(раскачка подвалов)</t>
  </si>
  <si>
    <t>80766,4 б  НДС</t>
  </si>
  <si>
    <t>Сч.ф.№0042 от 03.09.2008г.</t>
  </si>
  <si>
    <t>Акт. 4.09.08</t>
  </si>
  <si>
    <t>Техническое обслуживание ЛДСС дог.11</t>
  </si>
  <si>
    <t>Бажова 5,7,4,4а</t>
  </si>
  <si>
    <t>Володарского 9</t>
  </si>
  <si>
    <t>2микр.8</t>
  </si>
  <si>
    <t>2микр.11</t>
  </si>
  <si>
    <t>2микр.12</t>
  </si>
  <si>
    <t>Володарского 13</t>
  </si>
  <si>
    <t>итого</t>
  </si>
  <si>
    <t xml:space="preserve">АКТ №17 от 31 </t>
  </si>
  <si>
    <t>июля 2008г.</t>
  </si>
  <si>
    <t>124403 б НДС</t>
  </si>
  <si>
    <t>Сч.№0000030 от 28.08.2008г.</t>
  </si>
  <si>
    <t>Акт АС4 август 2008</t>
  </si>
  <si>
    <t>август 2008г.</t>
  </si>
  <si>
    <t>1062*8</t>
  </si>
  <si>
    <t>1062*2</t>
  </si>
  <si>
    <t>АКТ №18  от 29</t>
  </si>
  <si>
    <t>Счет/ф №63 от 1 августа 2008</t>
  </si>
  <si>
    <t>Счет/ф №64 от 29 августа 2008</t>
  </si>
  <si>
    <t>июнь</t>
  </si>
  <si>
    <t>9243 б НДС</t>
  </si>
  <si>
    <t>9558+9558+9243</t>
  </si>
  <si>
    <t>г/к п.Зюзельский</t>
  </si>
  <si>
    <t xml:space="preserve">АКТ №216918/4503 </t>
  </si>
  <si>
    <t>от 25 августа 2008</t>
  </si>
  <si>
    <t>2976 б НДС</t>
  </si>
  <si>
    <t xml:space="preserve">Счет/ф №216918/4503 </t>
  </si>
  <si>
    <t>2шт.г/к п Зюзельский</t>
  </si>
  <si>
    <t>4шт.ППБ</t>
  </si>
  <si>
    <t>4штг/к Школы</t>
  </si>
  <si>
    <t xml:space="preserve">АКТ №216942/4502 </t>
  </si>
  <si>
    <t>1490 б НДС</t>
  </si>
  <si>
    <t>от 25 августа 2009</t>
  </si>
  <si>
    <t>Счет/ф №216942/4502</t>
  </si>
  <si>
    <t>1шт.ППБ</t>
  </si>
  <si>
    <t>1шт-г/к Школы</t>
  </si>
  <si>
    <t>424 б НДС</t>
  </si>
  <si>
    <t xml:space="preserve">АКТ №216920/4503 </t>
  </si>
  <si>
    <t>Текущий ремонт жилых домов"Семанс"</t>
  </si>
  <si>
    <t>Счет/ф №216920/4503</t>
  </si>
  <si>
    <t xml:space="preserve">АКТ № 000036 </t>
  </si>
  <si>
    <t>от 01 09 08</t>
  </si>
  <si>
    <t>42750 б НДС</t>
  </si>
  <si>
    <t>Счет /ф 00000036 от 01 09.2008</t>
  </si>
  <si>
    <t>Текущий ремонт холодного водоснабжения,канализацииСад.8-ремонт водостока ИПСтроителев</t>
  </si>
  <si>
    <t>август</t>
  </si>
  <si>
    <t>откачка подвалов</t>
  </si>
  <si>
    <t xml:space="preserve">Транспортные услуги  (внутридомовые сети), </t>
  </si>
  <si>
    <t>Поверка СИ:измерители-регуляторы</t>
  </si>
  <si>
    <t>2микр.,13</t>
  </si>
  <si>
    <t>Счет/ф №00000002</t>
  </si>
  <si>
    <t>от 12 января 2009</t>
  </si>
  <si>
    <t>акт с-1/1</t>
  </si>
  <si>
    <t xml:space="preserve"> декабрь 2008г.</t>
  </si>
  <si>
    <t>237014 б ндс</t>
  </si>
  <si>
    <t xml:space="preserve">Монтаж оборудования системы диспетчеризации </t>
  </si>
  <si>
    <t>ИВК"Энергия"(контроль лифтов) в жилом фонде</t>
  </si>
  <si>
    <t>Счет/ф №00000852</t>
  </si>
  <si>
    <t>от 31 дукабря 2008</t>
  </si>
  <si>
    <t>187989 б ндс</t>
  </si>
  <si>
    <t>дог.№м-29/08 от 05.11.08 декабрь</t>
  </si>
  <si>
    <t>2009г</t>
  </si>
  <si>
    <t>136553 б ндс</t>
  </si>
  <si>
    <t>СЧЕТ№0000010 от24.03.09.</t>
  </si>
  <si>
    <t>КАПИТАЛЬНЫЙ РЕМОНТ СИСТЕМЫ ГОРЯЧЕГО ВОДОСНАБЖЕНИЯ  В ПОДВАЛЕ .ООО"СантехЭлитМонтаж Плюс"</t>
  </si>
  <si>
    <t>САДОВАЯ,12</t>
  </si>
  <si>
    <t>Общая площадь дома,кв.м.</t>
  </si>
  <si>
    <t>Количество проживающих,чел.</t>
  </si>
  <si>
    <t>Уважаемый собственник!</t>
  </si>
  <si>
    <t>2.</t>
  </si>
  <si>
    <t xml:space="preserve">Сумма  фактических полученных платежей </t>
  </si>
  <si>
    <t>3.</t>
  </si>
  <si>
    <t>4.</t>
  </si>
  <si>
    <t>Сумма средств израсходованных в соответствии с условиями договора</t>
  </si>
  <si>
    <t>4.1.</t>
  </si>
  <si>
    <t>4.1.1.</t>
  </si>
  <si>
    <t xml:space="preserve"> - текущий ремонт</t>
  </si>
  <si>
    <t>4.1.2.</t>
  </si>
  <si>
    <t>4.1.3.</t>
  </si>
  <si>
    <t>На жилищные услуги</t>
  </si>
  <si>
    <t xml:space="preserve">Фактические расходы,          руб.в год </t>
  </si>
  <si>
    <t>4.1.2.1</t>
  </si>
  <si>
    <t>4.1.2.2</t>
  </si>
  <si>
    <t>4.1.2.3</t>
  </si>
  <si>
    <t>4.1.2.4</t>
  </si>
  <si>
    <t>4.1.2.5</t>
  </si>
  <si>
    <t>4.1.2.6</t>
  </si>
  <si>
    <t>4.1.2.7</t>
  </si>
  <si>
    <t>4.1.2.8</t>
  </si>
  <si>
    <t>4.1.2.9</t>
  </si>
  <si>
    <t xml:space="preserve"> содержание  конструктивных элементов зданий</t>
  </si>
  <si>
    <t xml:space="preserve"> содержание внутридомовых газовых сетей</t>
  </si>
  <si>
    <t xml:space="preserve"> аварийно-диспетчерское обслуживание</t>
  </si>
  <si>
    <t xml:space="preserve"> благоустройство и обеспечение санитарного состояния жилых зданий и придомовой территории</t>
  </si>
  <si>
    <t xml:space="preserve"> паспортно-визовое обслуживание</t>
  </si>
  <si>
    <t xml:space="preserve"> расчетно-кассовое обслуживание</t>
  </si>
  <si>
    <t xml:space="preserve"> расходы по управлению </t>
  </si>
  <si>
    <t xml:space="preserve"> - содержание общего имущества</t>
  </si>
  <si>
    <t>Челюскинцев, 10</t>
  </si>
  <si>
    <t>Услуга</t>
  </si>
  <si>
    <t>Кол-во</t>
  </si>
  <si>
    <t>Содержание жилья</t>
  </si>
  <si>
    <t>57,5 кв.м.</t>
  </si>
  <si>
    <t>Вывоз мусора</t>
  </si>
  <si>
    <t>4 чел.</t>
  </si>
  <si>
    <t>Отопление</t>
  </si>
  <si>
    <t>Холодная вода</t>
  </si>
  <si>
    <t>Горячая вода</t>
  </si>
  <si>
    <t>14,4 куб.м.</t>
  </si>
  <si>
    <t>Водоотведение</t>
  </si>
  <si>
    <t>33,6 куб.м.</t>
  </si>
  <si>
    <t>Кап.ремонт</t>
  </si>
  <si>
    <t>19,2 куб.м.</t>
  </si>
  <si>
    <t>Итого</t>
  </si>
  <si>
    <t>1,725 ГКал</t>
  </si>
  <si>
    <t>45,2 кв.м.</t>
  </si>
  <si>
    <t>1 чел.</t>
  </si>
  <si>
    <t>8,4 куб.м.</t>
  </si>
  <si>
    <t>3,6 куб.м.</t>
  </si>
  <si>
    <t>4,8 куб.м.</t>
  </si>
  <si>
    <t>Тариф ОАО"Полевская коммунальная компания"</t>
  </si>
  <si>
    <t>Тариф ООО"Южное коммунальное предприятие"</t>
  </si>
  <si>
    <t>1 вариант</t>
  </si>
  <si>
    <t>2 вариант</t>
  </si>
  <si>
    <r>
      <t>2</t>
    </r>
    <r>
      <rPr>
        <sz val="10"/>
        <rFont val="Arial"/>
      </rPr>
      <t xml:space="preserve">. Площадь </t>
    </r>
    <r>
      <rPr>
        <b/>
        <sz val="10"/>
        <rFont val="Arial"/>
        <family val="2"/>
        <charset val="204"/>
      </rPr>
      <t>45,2</t>
    </r>
    <r>
      <rPr>
        <sz val="10"/>
        <rFont val="Arial"/>
      </rPr>
      <t>кв.м.</t>
    </r>
  </si>
  <si>
    <r>
      <t xml:space="preserve">    Проживающих </t>
    </r>
    <r>
      <rPr>
        <b/>
        <sz val="10"/>
        <rFont val="Arial"/>
        <family val="2"/>
        <charset val="204"/>
      </rPr>
      <t>1</t>
    </r>
    <r>
      <rPr>
        <sz val="10"/>
        <rFont val="Arial"/>
      </rPr>
      <t xml:space="preserve"> чел.</t>
    </r>
  </si>
  <si>
    <r>
      <t xml:space="preserve">    Проживающих </t>
    </r>
    <r>
      <rPr>
        <b/>
        <sz val="10"/>
        <rFont val="Arial"/>
        <family val="2"/>
        <charset val="204"/>
      </rPr>
      <t>4</t>
    </r>
    <r>
      <rPr>
        <sz val="10"/>
        <rFont val="Arial"/>
      </rPr>
      <t xml:space="preserve"> чел.</t>
    </r>
  </si>
  <si>
    <r>
      <t xml:space="preserve">  </t>
    </r>
    <r>
      <rPr>
        <b/>
        <sz val="12"/>
        <rFont val="Arial"/>
        <family val="2"/>
        <charset val="204"/>
      </rPr>
      <t>1</t>
    </r>
    <r>
      <rPr>
        <sz val="12"/>
        <rFont val="Arial"/>
        <family val="2"/>
        <charset val="204"/>
      </rPr>
      <t>.</t>
    </r>
    <r>
      <rPr>
        <sz val="10"/>
        <rFont val="Arial"/>
      </rPr>
      <t xml:space="preserve"> Площадь </t>
    </r>
    <r>
      <rPr>
        <b/>
        <sz val="10"/>
        <rFont val="Arial"/>
        <family val="2"/>
        <charset val="204"/>
      </rPr>
      <t>57,5</t>
    </r>
    <r>
      <rPr>
        <sz val="10"/>
        <rFont val="Arial"/>
      </rPr>
      <t>кв.м.</t>
    </r>
  </si>
  <si>
    <t>Сравнительная таблица  размера платы  граждан за жилищно-коммунальные услуги в 2010г.</t>
  </si>
  <si>
    <t>Сумма,               руб. в мес.</t>
  </si>
  <si>
    <t>Прмечание: Расчет выполнен без учета размера платы за эл.энергию.</t>
  </si>
  <si>
    <t xml:space="preserve"> за жилищные услуги,</t>
  </si>
  <si>
    <t>Сумма начисленных платежей собственников МКД,</t>
  </si>
  <si>
    <t>в том числе НДС</t>
  </si>
  <si>
    <t>Бажова,14</t>
  </si>
  <si>
    <t xml:space="preserve">Бажова,16   </t>
  </si>
  <si>
    <t xml:space="preserve">Бажова, 18     </t>
  </si>
  <si>
    <t xml:space="preserve">Бажова, 19      </t>
  </si>
  <si>
    <t>Победы, 4</t>
  </si>
  <si>
    <t>Победы, 6</t>
  </si>
  <si>
    <t>Победы, 8</t>
  </si>
  <si>
    <t>Победы, 9</t>
  </si>
  <si>
    <t>Чехова, 1</t>
  </si>
  <si>
    <t>Карла Маркса, 1</t>
  </si>
  <si>
    <t>Карла Маркса, 2а</t>
  </si>
  <si>
    <t>Карла Маркса, 7</t>
  </si>
  <si>
    <t>Карла Маркса, 9</t>
  </si>
  <si>
    <t>Карла Маркса, 9а</t>
  </si>
  <si>
    <t>Карла Маркса, 4</t>
  </si>
  <si>
    <t>Карла Маркса, 5</t>
  </si>
  <si>
    <t>Карла Маркса, 11а</t>
  </si>
  <si>
    <t>Карла Маркса, 13</t>
  </si>
  <si>
    <t>Карла Маркса, 14</t>
  </si>
  <si>
    <t>Карла Маркса, 16</t>
  </si>
  <si>
    <t>Карла Маркса, 17</t>
  </si>
  <si>
    <t>Карла Маркса, 18</t>
  </si>
  <si>
    <t>Карла Маркса, 19</t>
  </si>
  <si>
    <t>Карла Маркса, 21</t>
  </si>
  <si>
    <t>Карла Маркса, 21а</t>
  </si>
  <si>
    <t>Карла Маркса, 22</t>
  </si>
  <si>
    <t>Челюскинцев, 11</t>
  </si>
  <si>
    <t>Челюскинцев, 13</t>
  </si>
  <si>
    <t>Челюскинцев, 41</t>
  </si>
  <si>
    <t>Трояна, 1</t>
  </si>
  <si>
    <t>Трояна, 1а</t>
  </si>
  <si>
    <t>Трояна, 3</t>
  </si>
  <si>
    <t>Трояна, 3а</t>
  </si>
  <si>
    <t>Хохрякова, 48</t>
  </si>
  <si>
    <t>Подстанция-12, 2</t>
  </si>
  <si>
    <t>Урицкого, 121</t>
  </si>
  <si>
    <t>Ильича, 1</t>
  </si>
  <si>
    <t>Красноармейская, 85а</t>
  </si>
  <si>
    <t>Красноармейская, 98а</t>
  </si>
  <si>
    <t>Куйбышева, 8</t>
  </si>
  <si>
    <t>Куйбышева, 10</t>
  </si>
  <si>
    <t>Куйбышева, 22</t>
  </si>
  <si>
    <t>Садовая, 1а</t>
  </si>
  <si>
    <t>Садовая, 9</t>
  </si>
  <si>
    <t>с. Полдневая, К. Маркса, 35</t>
  </si>
  <si>
    <t>п. Зюзельский, Ленина, 2</t>
  </si>
  <si>
    <t>п. Зюзельский, Ленина, 7</t>
  </si>
  <si>
    <t>п. Зюзельский, Ленина, 8</t>
  </si>
  <si>
    <t>п. Зюзельский, Ленина, 9</t>
  </si>
  <si>
    <t>п. Зюзельский, Ленина, 14</t>
  </si>
  <si>
    <t>п. Зюзельский, Ленина, 16</t>
  </si>
  <si>
    <t>п. Зюзельский, Пролетарская, 1а</t>
  </si>
  <si>
    <t>п. Зюзельский, 4 Пятилетки, 1</t>
  </si>
  <si>
    <t>п. Зюзельский, 4 Пятилетки, 1б</t>
  </si>
  <si>
    <t>Лавровка, Зеленая, 24</t>
  </si>
  <si>
    <t>Лавровка, Лесников, 15</t>
  </si>
  <si>
    <t xml:space="preserve"> содержание внутридомовых  электрических сетей</t>
  </si>
  <si>
    <t>4.1.1.1</t>
  </si>
  <si>
    <t>внутридомовое инженерное оборудование</t>
  </si>
  <si>
    <t>4.1.1.2</t>
  </si>
  <si>
    <t>внутридомовое электрическое оборудование</t>
  </si>
  <si>
    <t>4.1.1.3</t>
  </si>
  <si>
    <t>конструктивные элементы зданий</t>
  </si>
  <si>
    <t xml:space="preserve"> - вывоз и размещение на полигоне ТБО</t>
  </si>
  <si>
    <t xml:space="preserve"> содержание  внутридомового инженерного оборудования</t>
  </si>
  <si>
    <t>Задолженность собственников  за ЖКУ на 01.01.15г.</t>
  </si>
  <si>
    <t>4.1.2.10</t>
  </si>
  <si>
    <t>ООО "Городская управляющая компания" доводит до Вашего сведения отчет об использовании денежных средств на содержание общего имущества многоквартирного дома и коммунальных услуг за 2014 год</t>
  </si>
  <si>
    <t>нет</t>
  </si>
  <si>
    <t>учёт и контроль в МКД</t>
  </si>
</sst>
</file>

<file path=xl/styles.xml><?xml version="1.0" encoding="utf-8"?>
<styleSheet xmlns="http://schemas.openxmlformats.org/spreadsheetml/2006/main">
  <numFmts count="4">
    <numFmt numFmtId="164" formatCode="_-* #,##0.00\ _₽_-;\-* #,##0.00\ _₽_-;_-* &quot;-&quot;??\ _₽_-;_-@_-"/>
    <numFmt numFmtId="165" formatCode="_(* #,##0.00_);_(* \(#,##0.00\);_(* &quot;-&quot;??_);_(@_)"/>
    <numFmt numFmtId="166" formatCode="0.0"/>
    <numFmt numFmtId="167" formatCode="_(* #,##0_);_(* \(#,##0\);_(* &quot;-&quot;??_);_(@_)"/>
  </numFmts>
  <fonts count="15">
    <font>
      <sz val="10"/>
      <name val="Arial"/>
    </font>
    <font>
      <sz val="10"/>
      <name val="Arial"/>
    </font>
    <font>
      <sz val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indexed="4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8"/>
      <name val="Arial"/>
      <family val="2"/>
      <charset val="204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i/>
      <sz val="10"/>
      <color indexed="9"/>
      <name val="Arial"/>
      <family val="2"/>
      <charset val="204"/>
    </font>
    <font>
      <b/>
      <sz val="12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26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 applyAlignment="1">
      <alignment horizontal="center" vertical="center"/>
    </xf>
    <xf numFmtId="0" fontId="0" fillId="0" borderId="0" xfId="0" applyAlignment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/>
    <xf numFmtId="0" fontId="0" fillId="0" borderId="4" xfId="0" applyBorder="1" applyAlignment="1"/>
    <xf numFmtId="0" fontId="0" fillId="0" borderId="0" xfId="0" applyBorder="1" applyAlignment="1"/>
    <xf numFmtId="0" fontId="0" fillId="0" borderId="10" xfId="0" applyBorder="1" applyAlignment="1"/>
    <xf numFmtId="0" fontId="0" fillId="0" borderId="7" xfId="0" applyBorder="1" applyAlignment="1"/>
    <xf numFmtId="166" fontId="0" fillId="0" borderId="8" xfId="0" applyNumberFormat="1" applyBorder="1"/>
    <xf numFmtId="0" fontId="0" fillId="0" borderId="7" xfId="0" applyFill="1" applyBorder="1"/>
    <xf numFmtId="0" fontId="0" fillId="0" borderId="6" xfId="0" applyFill="1" applyBorder="1"/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/>
    <xf numFmtId="0" fontId="0" fillId="0" borderId="8" xfId="0" applyBorder="1" applyAlignment="1"/>
    <xf numFmtId="0" fontId="0" fillId="0" borderId="5" xfId="0" applyBorder="1" applyAlignment="1"/>
    <xf numFmtId="0" fontId="0" fillId="0" borderId="11" xfId="0" applyBorder="1" applyAlignment="1"/>
    <xf numFmtId="0" fontId="0" fillId="0" borderId="8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6" xfId="0" applyBorder="1" applyAlignment="1">
      <alignment wrapText="1"/>
    </xf>
    <xf numFmtId="0" fontId="0" fillId="0" borderId="0" xfId="0" applyFill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/>
    </xf>
    <xf numFmtId="0" fontId="4" fillId="0" borderId="4" xfId="0" applyFont="1" applyBorder="1"/>
    <xf numFmtId="0" fontId="4" fillId="0" borderId="0" xfId="0" applyFont="1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0" xfId="0" applyBorder="1" applyAlignment="1">
      <alignment horizontal="center"/>
    </xf>
    <xf numFmtId="0" fontId="4" fillId="0" borderId="7" xfId="0" applyFont="1" applyBorder="1"/>
    <xf numFmtId="0" fontId="4" fillId="0" borderId="3" xfId="0" applyFont="1" applyBorder="1"/>
    <xf numFmtId="0" fontId="8" fillId="0" borderId="4" xfId="0" applyFont="1" applyBorder="1"/>
    <xf numFmtId="0" fontId="4" fillId="0" borderId="18" xfId="0" applyFont="1" applyBorder="1"/>
    <xf numFmtId="0" fontId="4" fillId="0" borderId="19" xfId="0" applyFont="1" applyBorder="1"/>
    <xf numFmtId="0" fontId="4" fillId="0" borderId="20" xfId="0" applyFont="1" applyBorder="1"/>
    <xf numFmtId="0" fontId="4" fillId="0" borderId="6" xfId="0" applyFont="1" applyBorder="1" applyAlignment="1">
      <alignment horizontal="left"/>
    </xf>
    <xf numFmtId="0" fontId="9" fillId="0" borderId="0" xfId="0" applyFont="1" applyBorder="1"/>
    <xf numFmtId="0" fontId="4" fillId="0" borderId="21" xfId="0" applyFont="1" applyBorder="1" applyAlignment="1">
      <alignment horizontal="left"/>
    </xf>
    <xf numFmtId="2" fontId="4" fillId="0" borderId="20" xfId="0" applyNumberFormat="1" applyFont="1" applyBorder="1"/>
    <xf numFmtId="0" fontId="4" fillId="0" borderId="9" xfId="0" applyFont="1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2" fontId="0" fillId="0" borderId="27" xfId="0" applyNumberFormat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2" fontId="0" fillId="0" borderId="30" xfId="0" applyNumberFormat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1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32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2" fontId="0" fillId="0" borderId="31" xfId="0" applyNumberFormat="1" applyBorder="1" applyAlignment="1">
      <alignment horizontal="center"/>
    </xf>
    <xf numFmtId="0" fontId="1" fillId="0" borderId="4" xfId="0" applyFont="1" applyBorder="1" applyAlignment="1">
      <alignment horizontal="center"/>
    </xf>
    <xf numFmtId="2" fontId="1" fillId="0" borderId="4" xfId="0" applyNumberFormat="1" applyFont="1" applyBorder="1" applyAlignment="1">
      <alignment horizontal="center"/>
    </xf>
    <xf numFmtId="2" fontId="1" fillId="0" borderId="27" xfId="0" applyNumberFormat="1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4" fillId="0" borderId="0" xfId="0" applyFont="1"/>
    <xf numFmtId="0" fontId="0" fillId="0" borderId="11" xfId="0" applyBorder="1" applyAlignment="1">
      <alignment horizontal="center"/>
    </xf>
    <xf numFmtId="0" fontId="14" fillId="0" borderId="0" xfId="0" applyFont="1"/>
    <xf numFmtId="0" fontId="4" fillId="0" borderId="1" xfId="0" applyFont="1" applyBorder="1" applyAlignment="1">
      <alignment horizontal="left"/>
    </xf>
    <xf numFmtId="2" fontId="0" fillId="3" borderId="6" xfId="0" applyNumberFormat="1" applyFill="1" applyBorder="1" applyAlignment="1">
      <alignment horizontal="center" wrapText="1"/>
    </xf>
    <xf numFmtId="165" fontId="0" fillId="0" borderId="6" xfId="1" applyFont="1" applyBorder="1" applyAlignment="1">
      <alignment horizontal="center" wrapText="1"/>
    </xf>
    <xf numFmtId="165" fontId="4" fillId="0" borderId="6" xfId="1" applyFont="1" applyBorder="1" applyAlignment="1">
      <alignment horizontal="center"/>
    </xf>
    <xf numFmtId="165" fontId="8" fillId="0" borderId="1" xfId="1" applyFont="1" applyBorder="1" applyAlignment="1">
      <alignment horizontal="center"/>
    </xf>
    <xf numFmtId="165" fontId="0" fillId="0" borderId="1" xfId="1" applyFont="1" applyBorder="1"/>
    <xf numFmtId="165" fontId="0" fillId="0" borderId="21" xfId="1" applyFont="1" applyBorder="1"/>
    <xf numFmtId="165" fontId="7" fillId="0" borderId="1" xfId="1" applyFont="1" applyBorder="1" applyAlignment="1">
      <alignment horizontal="center"/>
    </xf>
    <xf numFmtId="165" fontId="4" fillId="0" borderId="1" xfId="1" applyFont="1" applyBorder="1" applyAlignment="1">
      <alignment horizontal="center"/>
    </xf>
    <xf numFmtId="165" fontId="0" fillId="0" borderId="19" xfId="1" applyFont="1" applyBorder="1"/>
    <xf numFmtId="165" fontId="0" fillId="0" borderId="6" xfId="1" applyFont="1" applyBorder="1" applyAlignment="1">
      <alignment horizontal="center" vertical="center" wrapText="1"/>
    </xf>
    <xf numFmtId="165" fontId="1" fillId="0" borderId="21" xfId="1" applyFont="1" applyBorder="1"/>
    <xf numFmtId="165" fontId="7" fillId="0" borderId="1" xfId="1" applyFont="1" applyFill="1" applyBorder="1" applyAlignment="1">
      <alignment horizontal="center"/>
    </xf>
    <xf numFmtId="165" fontId="0" fillId="0" borderId="21" xfId="1" applyFont="1" applyFill="1" applyBorder="1"/>
    <xf numFmtId="0" fontId="8" fillId="4" borderId="33" xfId="0" applyFont="1" applyFill="1" applyBorder="1" applyAlignment="1">
      <alignment horizontal="left"/>
    </xf>
    <xf numFmtId="0" fontId="8" fillId="4" borderId="34" xfId="0" applyFont="1" applyFill="1" applyBorder="1"/>
    <xf numFmtId="165" fontId="2" fillId="4" borderId="35" xfId="1" applyFont="1" applyFill="1" applyBorder="1" applyAlignment="1">
      <alignment horizontal="center"/>
    </xf>
    <xf numFmtId="165" fontId="1" fillId="4" borderId="35" xfId="1" applyFont="1" applyFill="1" applyBorder="1" applyAlignment="1">
      <alignment horizontal="center"/>
    </xf>
    <xf numFmtId="0" fontId="0" fillId="4" borderId="34" xfId="0" applyFill="1" applyBorder="1"/>
    <xf numFmtId="0" fontId="8" fillId="4" borderId="36" xfId="0" applyFont="1" applyFill="1" applyBorder="1"/>
    <xf numFmtId="0" fontId="8" fillId="4" borderId="35" xfId="0" applyFont="1" applyFill="1" applyBorder="1" applyAlignment="1">
      <alignment horizontal="left"/>
    </xf>
    <xf numFmtId="0" fontId="8" fillId="4" borderId="37" xfId="0" applyFont="1" applyFill="1" applyBorder="1"/>
    <xf numFmtId="0" fontId="8" fillId="4" borderId="38" xfId="0" applyFont="1" applyFill="1" applyBorder="1"/>
    <xf numFmtId="165" fontId="2" fillId="4" borderId="33" xfId="1" applyFont="1" applyFill="1" applyBorder="1" applyAlignment="1">
      <alignment horizontal="center"/>
    </xf>
    <xf numFmtId="165" fontId="1" fillId="4" borderId="33" xfId="1" applyFont="1" applyFill="1" applyBorder="1" applyAlignment="1">
      <alignment horizontal="center"/>
    </xf>
    <xf numFmtId="0" fontId="0" fillId="4" borderId="38" xfId="0" applyFill="1" applyBorder="1"/>
    <xf numFmtId="0" fontId="8" fillId="4" borderId="39" xfId="0" applyFont="1" applyFill="1" applyBorder="1" applyAlignment="1">
      <alignment horizontal="left"/>
    </xf>
    <xf numFmtId="0" fontId="8" fillId="4" borderId="39" xfId="0" applyFont="1" applyFill="1" applyBorder="1"/>
    <xf numFmtId="165" fontId="2" fillId="4" borderId="39" xfId="1" applyFont="1" applyFill="1" applyBorder="1" applyAlignment="1">
      <alignment horizontal="center"/>
    </xf>
    <xf numFmtId="165" fontId="1" fillId="4" borderId="39" xfId="1" applyFont="1" applyFill="1" applyBorder="1" applyAlignment="1">
      <alignment horizontal="center"/>
    </xf>
    <xf numFmtId="0" fontId="0" fillId="4" borderId="39" xfId="0" applyFill="1" applyBorder="1"/>
    <xf numFmtId="0" fontId="9" fillId="5" borderId="39" xfId="0" applyFont="1" applyFill="1" applyBorder="1" applyAlignment="1">
      <alignment horizontal="left"/>
    </xf>
    <xf numFmtId="165" fontId="4" fillId="5" borderId="39" xfId="1" applyFont="1" applyFill="1" applyBorder="1" applyAlignment="1">
      <alignment horizontal="center"/>
    </xf>
    <xf numFmtId="0" fontId="4" fillId="5" borderId="39" xfId="0" applyFont="1" applyFill="1" applyBorder="1"/>
    <xf numFmtId="0" fontId="8" fillId="5" borderId="39" xfId="0" applyFont="1" applyFill="1" applyBorder="1" applyAlignment="1">
      <alignment horizontal="left"/>
    </xf>
    <xf numFmtId="165" fontId="1" fillId="5" borderId="39" xfId="1" applyFont="1" applyFill="1" applyBorder="1" applyAlignment="1">
      <alignment horizontal="center"/>
    </xf>
    <xf numFmtId="0" fontId="0" fillId="5" borderId="39" xfId="0" applyFill="1" applyBorder="1"/>
    <xf numFmtId="0" fontId="8" fillId="5" borderId="39" xfId="0" applyFont="1" applyFill="1" applyBorder="1"/>
    <xf numFmtId="165" fontId="2" fillId="5" borderId="39" xfId="1" applyFont="1" applyFill="1" applyBorder="1" applyAlignment="1">
      <alignment horizontal="center"/>
    </xf>
    <xf numFmtId="0" fontId="4" fillId="0" borderId="39" xfId="0" applyFont="1" applyBorder="1"/>
    <xf numFmtId="165" fontId="4" fillId="0" borderId="39" xfId="1" applyFont="1" applyBorder="1" applyAlignment="1">
      <alignment horizontal="center"/>
    </xf>
    <xf numFmtId="2" fontId="13" fillId="5" borderId="40" xfId="0" applyNumberFormat="1" applyFont="1" applyFill="1" applyBorder="1"/>
    <xf numFmtId="0" fontId="8" fillId="5" borderId="40" xfId="0" applyFont="1" applyFill="1" applyBorder="1"/>
    <xf numFmtId="0" fontId="8" fillId="4" borderId="40" xfId="0" applyFont="1" applyFill="1" applyBorder="1"/>
    <xf numFmtId="2" fontId="8" fillId="5" borderId="40" xfId="0" applyNumberFormat="1" applyFont="1" applyFill="1" applyBorder="1"/>
    <xf numFmtId="0" fontId="9" fillId="4" borderId="41" xfId="0" applyFont="1" applyFill="1" applyBorder="1" applyAlignment="1">
      <alignment horizontal="left"/>
    </xf>
    <xf numFmtId="0" fontId="9" fillId="4" borderId="34" xfId="0" applyFont="1" applyFill="1" applyBorder="1"/>
    <xf numFmtId="165" fontId="4" fillId="4" borderId="35" xfId="1" applyFont="1" applyFill="1" applyBorder="1" applyAlignment="1">
      <alignment horizontal="center"/>
    </xf>
    <xf numFmtId="0" fontId="4" fillId="4" borderId="34" xfId="0" applyFont="1" applyFill="1" applyBorder="1"/>
    <xf numFmtId="0" fontId="9" fillId="0" borderId="39" xfId="0" applyFont="1" applyBorder="1" applyAlignment="1">
      <alignment horizontal="left"/>
    </xf>
    <xf numFmtId="0" fontId="9" fillId="0" borderId="39" xfId="0" applyFont="1" applyBorder="1"/>
    <xf numFmtId="0" fontId="9" fillId="0" borderId="40" xfId="0" applyFont="1" applyBorder="1"/>
    <xf numFmtId="165" fontId="7" fillId="5" borderId="39" xfId="1" applyFont="1" applyFill="1" applyBorder="1" applyAlignment="1">
      <alignment horizontal="center"/>
    </xf>
    <xf numFmtId="165" fontId="0" fillId="0" borderId="3" xfId="1" applyFont="1" applyBorder="1" applyAlignment="1">
      <alignment horizontal="center" vertical="center" wrapText="1"/>
    </xf>
    <xf numFmtId="165" fontId="0" fillId="0" borderId="6" xfId="1" applyFont="1" applyBorder="1" applyAlignment="1">
      <alignment vertical="center" wrapText="1"/>
    </xf>
    <xf numFmtId="165" fontId="4" fillId="0" borderId="6" xfId="1" applyFont="1" applyBorder="1" applyAlignment="1">
      <alignment horizontal="center" vertical="center"/>
    </xf>
    <xf numFmtId="165" fontId="8" fillId="0" borderId="1" xfId="1" applyFont="1" applyBorder="1" applyAlignment="1">
      <alignment horizontal="center" vertical="center"/>
    </xf>
    <xf numFmtId="165" fontId="0" fillId="0" borderId="1" xfId="1" applyFont="1" applyBorder="1" applyAlignment="1">
      <alignment horizontal="center" vertical="center"/>
    </xf>
    <xf numFmtId="165" fontId="0" fillId="0" borderId="21" xfId="1" applyFont="1" applyBorder="1" applyAlignment="1">
      <alignment horizontal="center" vertical="center"/>
    </xf>
    <xf numFmtId="165" fontId="7" fillId="0" borderId="10" xfId="1" applyFont="1" applyBorder="1" applyAlignment="1">
      <alignment horizontal="center" vertical="center"/>
    </xf>
    <xf numFmtId="165" fontId="4" fillId="4" borderId="42" xfId="1" applyFont="1" applyFill="1" applyBorder="1" applyAlignment="1">
      <alignment horizontal="center" vertical="center"/>
    </xf>
    <xf numFmtId="165" fontId="2" fillId="4" borderId="43" xfId="1" applyFont="1" applyFill="1" applyBorder="1" applyAlignment="1">
      <alignment horizontal="center" vertical="center"/>
    </xf>
    <xf numFmtId="165" fontId="2" fillId="4" borderId="42" xfId="1" applyFont="1" applyFill="1" applyBorder="1" applyAlignment="1">
      <alignment horizontal="center" vertical="center"/>
    </xf>
    <xf numFmtId="165" fontId="2" fillId="4" borderId="44" xfId="1" applyFont="1" applyFill="1" applyBorder="1" applyAlignment="1">
      <alignment horizontal="center" vertical="center"/>
    </xf>
    <xf numFmtId="165" fontId="4" fillId="5" borderId="44" xfId="1" applyFont="1" applyFill="1" applyBorder="1" applyAlignment="1">
      <alignment horizontal="center" vertical="center"/>
    </xf>
    <xf numFmtId="165" fontId="1" fillId="5" borderId="44" xfId="1" applyFont="1" applyFill="1" applyBorder="1" applyAlignment="1">
      <alignment horizontal="center" vertical="center"/>
    </xf>
    <xf numFmtId="165" fontId="2" fillId="5" borderId="44" xfId="1" applyFont="1" applyFill="1" applyBorder="1" applyAlignment="1">
      <alignment horizontal="center" vertical="center"/>
    </xf>
    <xf numFmtId="165" fontId="4" fillId="0" borderId="44" xfId="1" applyFont="1" applyBorder="1" applyAlignment="1">
      <alignment horizontal="center" vertical="center"/>
    </xf>
    <xf numFmtId="167" fontId="0" fillId="0" borderId="1" xfId="1" applyNumberFormat="1" applyFont="1" applyBorder="1" applyAlignment="1">
      <alignment horizontal="center" vertical="center" wrapText="1"/>
    </xf>
    <xf numFmtId="167" fontId="0" fillId="0" borderId="1" xfId="1" applyNumberFormat="1" applyFont="1" applyBorder="1" applyAlignment="1">
      <alignment vertical="center" wrapText="1"/>
    </xf>
    <xf numFmtId="2" fontId="0" fillId="3" borderId="21" xfId="0" applyNumberFormat="1" applyFill="1" applyBorder="1" applyAlignment="1">
      <alignment horizontal="center" wrapText="1"/>
    </xf>
    <xf numFmtId="167" fontId="0" fillId="0" borderId="0" xfId="1" applyNumberFormat="1" applyFont="1" applyBorder="1" applyAlignment="1">
      <alignment horizontal="center" wrapText="1"/>
    </xf>
    <xf numFmtId="167" fontId="0" fillId="0" borderId="0" xfId="1" applyNumberFormat="1" applyFont="1" applyBorder="1" applyAlignment="1">
      <alignment horizontal="center" vertical="center" wrapText="1"/>
    </xf>
    <xf numFmtId="167" fontId="0" fillId="0" borderId="1" xfId="1" applyNumberFormat="1" applyFont="1" applyBorder="1" applyAlignment="1">
      <alignment horizontal="center"/>
    </xf>
    <xf numFmtId="167" fontId="0" fillId="0" borderId="0" xfId="1" applyNumberFormat="1" applyFont="1" applyFill="1" applyBorder="1" applyAlignment="1">
      <alignment horizontal="center" vertical="center" wrapText="1"/>
    </xf>
    <xf numFmtId="165" fontId="1" fillId="5" borderId="39" xfId="1" applyFont="1" applyFill="1" applyBorder="1" applyAlignment="1">
      <alignment horizontal="center"/>
    </xf>
    <xf numFmtId="165" fontId="7" fillId="5" borderId="39" xfId="1" applyFont="1" applyFill="1" applyBorder="1" applyAlignment="1">
      <alignment horizontal="center"/>
    </xf>
    <xf numFmtId="165" fontId="0" fillId="5" borderId="39" xfId="1" applyFont="1" applyFill="1" applyBorder="1" applyAlignment="1">
      <alignment horizontal="center"/>
    </xf>
    <xf numFmtId="164" fontId="4" fillId="0" borderId="6" xfId="1" applyNumberFormat="1" applyFont="1" applyBorder="1" applyAlignment="1">
      <alignment horizontal="center"/>
    </xf>
    <xf numFmtId="0" fontId="0" fillId="0" borderId="21" xfId="1" applyNumberFormat="1" applyFont="1" applyBorder="1"/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2" xfId="0" applyBorder="1" applyAlignment="1"/>
    <xf numFmtId="0" fontId="0" fillId="0" borderId="13" xfId="0" applyBorder="1" applyAlignment="1"/>
    <xf numFmtId="0" fontId="0" fillId="0" borderId="17" xfId="0" applyBorder="1" applyAlignment="1"/>
    <xf numFmtId="0" fontId="0" fillId="0" borderId="14" xfId="0" applyBorder="1" applyAlignment="1"/>
    <xf numFmtId="0" fontId="0" fillId="0" borderId="15" xfId="0" applyBorder="1" applyAlignment="1"/>
    <xf numFmtId="0" fontId="0" fillId="0" borderId="16" xfId="0" applyBorder="1" applyAlignment="1"/>
    <xf numFmtId="0" fontId="0" fillId="0" borderId="7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0" xfId="0" applyAlignment="1">
      <alignment wrapText="1"/>
    </xf>
    <xf numFmtId="0" fontId="0" fillId="0" borderId="10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4" xfId="0" applyBorder="1" applyAlignment="1"/>
    <xf numFmtId="0" fontId="0" fillId="0" borderId="0" xfId="0" applyBorder="1" applyAlignment="1"/>
    <xf numFmtId="0" fontId="0" fillId="0" borderId="10" xfId="0" applyBorder="1" applyAlignment="1"/>
    <xf numFmtId="0" fontId="0" fillId="0" borderId="3" xfId="0" applyBorder="1" applyAlignment="1"/>
    <xf numFmtId="0" fontId="0" fillId="0" borderId="9" xfId="0" applyBorder="1" applyAlignment="1"/>
    <xf numFmtId="0" fontId="0" fillId="0" borderId="0" xfId="0" applyAlignment="1"/>
    <xf numFmtId="0" fontId="0" fillId="0" borderId="51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0" borderId="14" xfId="0" applyBorder="1" applyAlignment="1">
      <alignment horizontal="center" vertical="center" wrapText="1"/>
    </xf>
    <xf numFmtId="0" fontId="0" fillId="0" borderId="23" xfId="0" applyBorder="1" applyAlignment="1">
      <alignment wrapText="1"/>
    </xf>
    <xf numFmtId="0" fontId="0" fillId="0" borderId="47" xfId="0" applyBorder="1" applyAlignment="1">
      <alignment wrapText="1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3" xfId="0" applyBorder="1" applyAlignment="1"/>
    <xf numFmtId="0" fontId="0" fillId="0" borderId="47" xfId="0" applyBorder="1" applyAlignment="1"/>
    <xf numFmtId="0" fontId="0" fillId="0" borderId="52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wrapText="1"/>
    </xf>
    <xf numFmtId="0" fontId="10" fillId="0" borderId="0" xfId="0" applyFont="1" applyBorder="1" applyAlignment="1">
      <alignment wrapText="1"/>
    </xf>
    <xf numFmtId="2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65" fontId="1" fillId="5" borderId="39" xfId="1" applyFont="1" applyFill="1" applyBorder="1" applyAlignment="1">
      <alignment horizontal="center"/>
    </xf>
    <xf numFmtId="165" fontId="1" fillId="5" borderId="44" xfId="1" applyFont="1" applyFill="1" applyBorder="1" applyAlignment="1">
      <alignment horizontal="center" vertical="center"/>
    </xf>
    <xf numFmtId="165" fontId="7" fillId="5" borderId="39" xfId="1" applyFont="1" applyFill="1" applyBorder="1" applyAlignment="1">
      <alignment horizontal="center"/>
    </xf>
    <xf numFmtId="165" fontId="0" fillId="5" borderId="39" xfId="1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5" borderId="39" xfId="0" applyFont="1" applyFill="1" applyBorder="1" applyAlignment="1">
      <alignment wrapText="1"/>
    </xf>
    <xf numFmtId="0" fontId="8" fillId="5" borderId="40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7" xfId="0" applyBorder="1" applyAlignment="1">
      <alignment horizontal="center" vertical="center"/>
    </xf>
    <xf numFmtId="2" fontId="0" fillId="3" borderId="6" xfId="0" applyNumberFormat="1" applyFill="1" applyBorder="1" applyAlignment="1">
      <alignment horizontal="center" wrapText="1"/>
    </xf>
    <xf numFmtId="2" fontId="0" fillId="3" borderId="2" xfId="0" applyNumberFormat="1" applyFill="1" applyBorder="1" applyAlignment="1">
      <alignment horizontal="center" wrapText="1"/>
    </xf>
    <xf numFmtId="0" fontId="8" fillId="5" borderId="39" xfId="0" applyFont="1" applyFill="1" applyBorder="1" applyAlignment="1"/>
    <xf numFmtId="0" fontId="8" fillId="5" borderId="40" xfId="0" applyFont="1" applyFill="1" applyBorder="1" applyAlignment="1"/>
    <xf numFmtId="0" fontId="0" fillId="0" borderId="0" xfId="0" applyAlignment="1">
      <alignment horizontal="center" vertical="center" wrapText="1"/>
    </xf>
    <xf numFmtId="0" fontId="8" fillId="5" borderId="39" xfId="0" applyFont="1" applyFill="1" applyBorder="1" applyAlignment="1">
      <alignment horizontal="left" vertical="center" wrapText="1"/>
    </xf>
    <xf numFmtId="0" fontId="0" fillId="3" borderId="6" xfId="0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9" fillId="5" borderId="39" xfId="0" applyFont="1" applyFill="1" applyBorder="1" applyAlignment="1">
      <alignment wrapText="1"/>
    </xf>
    <xf numFmtId="0" fontId="9" fillId="5" borderId="40" xfId="0" applyFont="1" applyFill="1" applyBorder="1" applyAlignment="1">
      <alignment wrapText="1"/>
    </xf>
    <xf numFmtId="165" fontId="1" fillId="5" borderId="57" xfId="1" applyFont="1" applyFill="1" applyBorder="1" applyAlignment="1">
      <alignment horizontal="center"/>
    </xf>
    <xf numFmtId="165" fontId="1" fillId="5" borderId="58" xfId="1" applyFont="1" applyFill="1" applyBorder="1" applyAlignment="1">
      <alignment horizontal="center"/>
    </xf>
    <xf numFmtId="165" fontId="7" fillId="5" borderId="57" xfId="1" applyFont="1" applyFill="1" applyBorder="1" applyAlignment="1">
      <alignment horizontal="center"/>
    </xf>
    <xf numFmtId="165" fontId="7" fillId="5" borderId="58" xfId="1" applyFont="1" applyFill="1" applyBorder="1" applyAlignment="1">
      <alignment horizontal="center"/>
    </xf>
    <xf numFmtId="165" fontId="6" fillId="5" borderId="39" xfId="1" applyFont="1" applyFill="1" applyBorder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3"/>
  <sheetViews>
    <sheetView topLeftCell="A22" workbookViewId="0">
      <selection activeCell="D19" sqref="D19"/>
    </sheetView>
  </sheetViews>
  <sheetFormatPr defaultRowHeight="13.2"/>
  <cols>
    <col min="9" max="9" width="15.5546875" customWidth="1"/>
    <col min="10" max="10" width="12.44140625" customWidth="1"/>
    <col min="11" max="11" width="27.88671875" customWidth="1"/>
  </cols>
  <sheetData>
    <row r="1" spans="1:11" ht="20.25" customHeight="1">
      <c r="A1" s="184" t="s">
        <v>32</v>
      </c>
      <c r="B1" s="185"/>
      <c r="C1" s="185"/>
      <c r="D1" s="185"/>
      <c r="E1" s="192"/>
      <c r="F1" s="184" t="s">
        <v>33</v>
      </c>
      <c r="G1" s="185"/>
      <c r="H1" s="186"/>
      <c r="I1" s="190" t="s">
        <v>34</v>
      </c>
      <c r="J1" s="179" t="s">
        <v>42</v>
      </c>
      <c r="K1" s="179" t="s">
        <v>35</v>
      </c>
    </row>
    <row r="2" spans="1:11" ht="18" customHeight="1" thickBot="1">
      <c r="A2" s="187"/>
      <c r="B2" s="188"/>
      <c r="C2" s="188"/>
      <c r="D2" s="188"/>
      <c r="E2" s="189"/>
      <c r="F2" s="187"/>
      <c r="G2" s="188"/>
      <c r="H2" s="189"/>
      <c r="I2" s="191"/>
      <c r="J2" s="180"/>
      <c r="K2" s="180"/>
    </row>
    <row r="3" spans="1:11">
      <c r="A3" s="181" t="s">
        <v>31</v>
      </c>
      <c r="B3" s="182"/>
      <c r="C3" s="182"/>
      <c r="D3" s="182"/>
      <c r="E3" s="183"/>
      <c r="F3" s="181" t="s">
        <v>37</v>
      </c>
      <c r="G3" s="182"/>
      <c r="H3" s="183"/>
      <c r="I3" s="200" t="s">
        <v>38</v>
      </c>
      <c r="J3" s="166">
        <v>868.48</v>
      </c>
      <c r="K3" s="178" t="s">
        <v>36</v>
      </c>
    </row>
    <row r="4" spans="1:11">
      <c r="A4" s="173"/>
      <c r="B4" s="174"/>
      <c r="C4" s="174"/>
      <c r="D4" s="174"/>
      <c r="E4" s="175"/>
      <c r="F4" s="173"/>
      <c r="G4" s="174"/>
      <c r="H4" s="175"/>
      <c r="I4" s="177"/>
      <c r="J4" s="167"/>
      <c r="K4" s="169"/>
    </row>
    <row r="5" spans="1:11">
      <c r="A5" s="170" t="s">
        <v>39</v>
      </c>
      <c r="B5" s="171"/>
      <c r="C5" s="171"/>
      <c r="D5" s="171"/>
      <c r="E5" s="172"/>
      <c r="F5" s="170" t="s">
        <v>40</v>
      </c>
      <c r="G5" s="171"/>
      <c r="H5" s="172"/>
      <c r="I5" s="176" t="s">
        <v>41</v>
      </c>
      <c r="J5" s="165">
        <v>161493.15</v>
      </c>
      <c r="K5" s="168" t="s">
        <v>43</v>
      </c>
    </row>
    <row r="6" spans="1:11">
      <c r="A6" s="173"/>
      <c r="B6" s="174"/>
      <c r="C6" s="174"/>
      <c r="D6" s="174"/>
      <c r="E6" s="175"/>
      <c r="F6" s="173"/>
      <c r="G6" s="174"/>
      <c r="H6" s="175"/>
      <c r="I6" s="177"/>
      <c r="J6" s="167"/>
      <c r="K6" s="169"/>
    </row>
    <row r="7" spans="1:11">
      <c r="A7" s="170" t="s">
        <v>47</v>
      </c>
      <c r="B7" s="171"/>
      <c r="C7" s="171"/>
      <c r="D7" s="171"/>
      <c r="E7" s="172"/>
      <c r="F7" s="170" t="s">
        <v>44</v>
      </c>
      <c r="G7" s="171"/>
      <c r="H7" s="172"/>
      <c r="I7" s="176" t="s">
        <v>51</v>
      </c>
      <c r="J7" s="165" t="s">
        <v>45</v>
      </c>
      <c r="K7" s="168" t="s">
        <v>46</v>
      </c>
    </row>
    <row r="8" spans="1:11">
      <c r="A8" s="173"/>
      <c r="B8" s="174"/>
      <c r="C8" s="174"/>
      <c r="D8" s="174"/>
      <c r="E8" s="175"/>
      <c r="F8" s="173"/>
      <c r="G8" s="174"/>
      <c r="H8" s="175"/>
      <c r="I8" s="177"/>
      <c r="J8" s="167"/>
      <c r="K8" s="169"/>
    </row>
    <row r="9" spans="1:11">
      <c r="A9" s="170" t="s">
        <v>100</v>
      </c>
      <c r="B9" s="171"/>
      <c r="C9" s="171"/>
      <c r="D9" s="171"/>
      <c r="E9" s="172"/>
      <c r="F9" s="170" t="s">
        <v>44</v>
      </c>
      <c r="G9" s="171"/>
      <c r="H9" s="172"/>
      <c r="I9" s="176" t="s">
        <v>68</v>
      </c>
      <c r="J9" s="165" t="s">
        <v>66</v>
      </c>
      <c r="K9" s="168" t="s">
        <v>67</v>
      </c>
    </row>
    <row r="10" spans="1:11">
      <c r="A10" s="181"/>
      <c r="B10" s="182"/>
      <c r="C10" s="182"/>
      <c r="D10" s="182"/>
      <c r="E10" s="183"/>
      <c r="F10" s="181"/>
      <c r="G10" s="182"/>
      <c r="H10" s="183"/>
      <c r="I10" s="200"/>
      <c r="J10" s="166"/>
      <c r="K10" s="178"/>
    </row>
    <row r="11" spans="1:11">
      <c r="A11" s="173"/>
      <c r="B11" s="174"/>
      <c r="C11" s="174"/>
      <c r="D11" s="174"/>
      <c r="E11" s="175"/>
      <c r="F11" s="173"/>
      <c r="G11" s="174"/>
      <c r="H11" s="175"/>
      <c r="I11" s="177"/>
      <c r="J11" s="167"/>
      <c r="K11" s="169"/>
    </row>
    <row r="12" spans="1:11" ht="16.5" customHeight="1">
      <c r="A12" s="170" t="s">
        <v>94</v>
      </c>
      <c r="B12" s="204"/>
      <c r="C12" s="204"/>
      <c r="D12" s="204"/>
      <c r="E12" s="205"/>
      <c r="F12" s="170" t="s">
        <v>48</v>
      </c>
      <c r="G12" s="171"/>
      <c r="H12" s="172"/>
      <c r="I12" s="7" t="s">
        <v>55</v>
      </c>
      <c r="J12" s="7"/>
      <c r="K12" s="7" t="s">
        <v>54</v>
      </c>
    </row>
    <row r="13" spans="1:11">
      <c r="A13" s="201"/>
      <c r="B13" s="202"/>
      <c r="C13" s="202"/>
      <c r="D13" s="202"/>
      <c r="E13" s="203"/>
      <c r="F13" s="181"/>
      <c r="G13" s="182"/>
      <c r="H13" s="183"/>
      <c r="I13" s="1"/>
      <c r="J13" s="1" t="s">
        <v>53</v>
      </c>
      <c r="K13" s="1"/>
    </row>
    <row r="14" spans="1:11">
      <c r="A14" s="201"/>
      <c r="B14" s="202"/>
      <c r="C14" s="202"/>
      <c r="D14" s="202"/>
      <c r="E14" s="203"/>
      <c r="F14" s="21"/>
      <c r="G14" s="22"/>
      <c r="H14" s="23"/>
      <c r="I14" s="1"/>
      <c r="J14" s="1"/>
      <c r="K14" s="1"/>
    </row>
    <row r="15" spans="1:11">
      <c r="A15" s="201"/>
      <c r="B15" s="202"/>
      <c r="C15" s="202"/>
      <c r="D15" s="202"/>
      <c r="E15" s="203"/>
      <c r="F15" s="201" t="s">
        <v>49</v>
      </c>
      <c r="G15" s="202"/>
      <c r="H15" s="203"/>
      <c r="I15" s="1"/>
      <c r="J15" s="1"/>
      <c r="K15" s="1"/>
    </row>
    <row r="16" spans="1:11">
      <c r="A16" s="201"/>
      <c r="B16" s="202"/>
      <c r="C16" s="202"/>
      <c r="D16" s="202"/>
      <c r="E16" s="203"/>
      <c r="F16" s="201" t="s">
        <v>50</v>
      </c>
      <c r="G16" s="206"/>
      <c r="H16" s="203"/>
      <c r="I16" s="1"/>
      <c r="J16" s="1"/>
      <c r="K16" s="1"/>
    </row>
    <row r="17" spans="1:11">
      <c r="A17" s="201"/>
      <c r="B17" s="202"/>
      <c r="C17" s="202"/>
      <c r="D17" s="202"/>
      <c r="E17" s="203"/>
      <c r="F17" s="4" t="s">
        <v>52</v>
      </c>
      <c r="G17" s="5"/>
      <c r="H17" s="13"/>
      <c r="I17" s="1"/>
      <c r="J17" s="1"/>
      <c r="K17" s="1"/>
    </row>
    <row r="18" spans="1:11">
      <c r="A18" s="28"/>
      <c r="B18" s="24"/>
      <c r="C18" s="24"/>
      <c r="D18" s="24"/>
      <c r="E18" s="24"/>
      <c r="F18" s="8"/>
      <c r="G18" s="3"/>
      <c r="H18" s="3"/>
      <c r="I18" s="8" t="s">
        <v>75</v>
      </c>
      <c r="J18" s="8" t="s">
        <v>76</v>
      </c>
      <c r="K18" s="7"/>
    </row>
    <row r="19" spans="1:11">
      <c r="A19" s="25" t="s">
        <v>56</v>
      </c>
      <c r="B19" s="26"/>
      <c r="C19" s="26"/>
      <c r="D19" s="26"/>
      <c r="E19" s="26"/>
      <c r="F19" s="4" t="s">
        <v>57</v>
      </c>
      <c r="G19" s="5"/>
      <c r="H19" s="5"/>
      <c r="I19" s="4" t="s">
        <v>64</v>
      </c>
      <c r="J19" s="4" t="s">
        <v>70</v>
      </c>
      <c r="K19" s="1" t="s">
        <v>73</v>
      </c>
    </row>
    <row r="20" spans="1:11">
      <c r="A20" s="25"/>
      <c r="B20" s="26"/>
      <c r="C20" s="26"/>
      <c r="D20" s="26"/>
      <c r="E20" s="26"/>
      <c r="F20" s="4" t="s">
        <v>58</v>
      </c>
      <c r="G20" s="5"/>
      <c r="H20" s="5"/>
      <c r="I20" s="4" t="s">
        <v>65</v>
      </c>
      <c r="J20" s="4" t="s">
        <v>71</v>
      </c>
      <c r="K20" s="1" t="s">
        <v>74</v>
      </c>
    </row>
    <row r="21" spans="1:11">
      <c r="A21" s="4"/>
      <c r="B21" s="5"/>
      <c r="C21" s="5"/>
      <c r="D21" s="5"/>
      <c r="E21" s="5"/>
      <c r="F21" s="4" t="s">
        <v>62</v>
      </c>
      <c r="G21" s="5"/>
      <c r="H21" s="5"/>
      <c r="I21" s="4" t="s">
        <v>72</v>
      </c>
      <c r="J21" s="4" t="s">
        <v>71</v>
      </c>
      <c r="K21" s="1"/>
    </row>
    <row r="22" spans="1:11">
      <c r="A22" s="4"/>
      <c r="B22" s="5"/>
      <c r="C22" s="5"/>
      <c r="D22" s="5"/>
      <c r="E22" s="5"/>
      <c r="F22" s="4" t="s">
        <v>59</v>
      </c>
      <c r="G22" s="5"/>
      <c r="H22" s="5"/>
      <c r="I22" s="4" t="s">
        <v>69</v>
      </c>
      <c r="J22" s="4" t="s">
        <v>71</v>
      </c>
      <c r="K22" s="1"/>
    </row>
    <row r="23" spans="1:11">
      <c r="A23" s="4"/>
      <c r="B23" s="5"/>
      <c r="C23" s="5"/>
      <c r="D23" s="5"/>
      <c r="E23" s="5"/>
      <c r="F23" s="4" t="s">
        <v>60</v>
      </c>
      <c r="G23" s="5"/>
      <c r="H23" s="5"/>
      <c r="I23" s="4"/>
      <c r="J23" s="4" t="s">
        <v>71</v>
      </c>
      <c r="K23" s="1"/>
    </row>
    <row r="24" spans="1:11">
      <c r="A24" s="4"/>
      <c r="B24" s="5"/>
      <c r="C24" s="5"/>
      <c r="D24" s="5"/>
      <c r="E24" s="5"/>
      <c r="F24" s="4" t="s">
        <v>61</v>
      </c>
      <c r="G24" s="5"/>
      <c r="H24" s="5"/>
      <c r="I24" s="4"/>
      <c r="J24" s="4" t="s">
        <v>71</v>
      </c>
      <c r="K24" s="1"/>
    </row>
    <row r="25" spans="1:11">
      <c r="A25" s="9"/>
      <c r="B25" s="6"/>
      <c r="C25" s="6"/>
      <c r="D25" s="6"/>
      <c r="E25" s="6"/>
      <c r="F25" s="9" t="s">
        <v>63</v>
      </c>
      <c r="G25" s="6"/>
      <c r="H25" s="6"/>
      <c r="I25" s="9"/>
      <c r="J25" s="29" t="s">
        <v>77</v>
      </c>
      <c r="K25" s="2"/>
    </row>
    <row r="26" spans="1:11">
      <c r="A26" s="8" t="s">
        <v>104</v>
      </c>
      <c r="B26" s="3"/>
      <c r="C26" s="3"/>
      <c r="D26" s="3"/>
      <c r="E26" s="12"/>
      <c r="F26" s="30" t="s">
        <v>78</v>
      </c>
      <c r="G26" s="3"/>
      <c r="H26" s="12"/>
      <c r="I26" s="7" t="s">
        <v>79</v>
      </c>
      <c r="J26" s="31" t="s">
        <v>81</v>
      </c>
      <c r="K26" s="7" t="s">
        <v>82</v>
      </c>
    </row>
    <row r="27" spans="1:11">
      <c r="A27" s="4"/>
      <c r="B27" s="5"/>
      <c r="C27" s="5"/>
      <c r="D27" s="5"/>
      <c r="E27" s="13"/>
      <c r="F27" s="4"/>
      <c r="G27" s="5"/>
      <c r="H27" s="13"/>
      <c r="I27" s="1" t="s">
        <v>80</v>
      </c>
      <c r="J27" s="1"/>
      <c r="K27" s="1" t="s">
        <v>80</v>
      </c>
    </row>
    <row r="28" spans="1:11">
      <c r="A28" s="4"/>
      <c r="B28" s="5"/>
      <c r="C28" s="5"/>
      <c r="D28" s="5"/>
      <c r="E28" s="13"/>
      <c r="F28" s="4" t="s">
        <v>83</v>
      </c>
      <c r="G28" s="5"/>
      <c r="H28" s="13"/>
      <c r="I28" s="1" t="s">
        <v>86</v>
      </c>
      <c r="J28" s="1" t="s">
        <v>87</v>
      </c>
      <c r="K28" s="1" t="s">
        <v>89</v>
      </c>
    </row>
    <row r="29" spans="1:11">
      <c r="A29" s="4"/>
      <c r="B29" s="5"/>
      <c r="C29" s="5"/>
      <c r="D29" s="5"/>
      <c r="E29" s="13"/>
      <c r="F29" s="4" t="s">
        <v>84</v>
      </c>
      <c r="G29" s="5"/>
      <c r="H29" s="13"/>
      <c r="I29" s="1" t="s">
        <v>80</v>
      </c>
      <c r="J29" s="1"/>
      <c r="K29" s="1" t="s">
        <v>80</v>
      </c>
    </row>
    <row r="30" spans="1:11">
      <c r="A30" s="4"/>
      <c r="B30" s="5"/>
      <c r="C30" s="5"/>
      <c r="D30" s="5"/>
      <c r="E30" s="13"/>
      <c r="F30" s="4" t="s">
        <v>85</v>
      </c>
      <c r="G30" s="5"/>
      <c r="H30" s="13"/>
      <c r="I30" s="1"/>
      <c r="J30" s="1"/>
      <c r="K30" s="1"/>
    </row>
    <row r="31" spans="1:11">
      <c r="A31" s="4"/>
      <c r="B31" s="5"/>
      <c r="C31" s="5"/>
      <c r="D31" s="5"/>
      <c r="E31" s="13"/>
      <c r="F31" s="4" t="s">
        <v>90</v>
      </c>
      <c r="G31" s="5"/>
      <c r="H31" s="13"/>
      <c r="I31" s="1" t="s">
        <v>93</v>
      </c>
      <c r="J31" s="1" t="s">
        <v>92</v>
      </c>
      <c r="K31" s="1" t="s">
        <v>95</v>
      </c>
    </row>
    <row r="32" spans="1:11">
      <c r="A32" s="9"/>
      <c r="B32" s="6"/>
      <c r="C32" s="6"/>
      <c r="D32" s="6"/>
      <c r="E32" s="14"/>
      <c r="F32" s="9" t="s">
        <v>91</v>
      </c>
      <c r="G32" s="6"/>
      <c r="H32" s="14"/>
      <c r="I32" s="2" t="s">
        <v>80</v>
      </c>
      <c r="J32" s="2"/>
      <c r="K32" s="2" t="s">
        <v>88</v>
      </c>
    </row>
    <row r="33" spans="1:13" ht="12.75" customHeight="1">
      <c r="A33" s="32" t="s">
        <v>94</v>
      </c>
      <c r="B33" s="24"/>
      <c r="C33" s="24"/>
      <c r="D33" s="24"/>
      <c r="E33" s="33"/>
      <c r="F33" s="8"/>
      <c r="G33" s="3"/>
      <c r="H33" s="12"/>
      <c r="I33" s="7" t="s">
        <v>108</v>
      </c>
      <c r="J33" s="8"/>
      <c r="K33" s="7" t="s">
        <v>106</v>
      </c>
    </row>
    <row r="34" spans="1:13">
      <c r="A34" s="34"/>
      <c r="B34" s="35"/>
      <c r="C34" s="35"/>
      <c r="D34" s="35"/>
      <c r="E34" s="36"/>
      <c r="F34" s="9" t="s">
        <v>105</v>
      </c>
      <c r="G34" s="6"/>
      <c r="H34" s="14"/>
      <c r="I34" s="2" t="s">
        <v>109</v>
      </c>
      <c r="J34" s="37" t="s">
        <v>115</v>
      </c>
      <c r="K34" s="2" t="s">
        <v>107</v>
      </c>
    </row>
    <row r="35" spans="1:13">
      <c r="A35" s="25" t="s">
        <v>111</v>
      </c>
      <c r="B35" s="26"/>
      <c r="C35" s="26"/>
      <c r="D35" s="26"/>
      <c r="E35" s="27"/>
      <c r="F35" s="4" t="s">
        <v>116</v>
      </c>
      <c r="G35" s="5"/>
      <c r="H35" s="13"/>
      <c r="I35" s="1"/>
      <c r="J35" s="38" t="s">
        <v>110</v>
      </c>
      <c r="K35" s="7" t="s">
        <v>113</v>
      </c>
    </row>
    <row r="36" spans="1:13">
      <c r="A36" s="25" t="s">
        <v>112</v>
      </c>
      <c r="B36" s="26"/>
      <c r="C36" s="26"/>
      <c r="D36" s="26"/>
      <c r="E36" s="27"/>
      <c r="F36" s="4"/>
      <c r="G36" s="5"/>
      <c r="H36" s="13">
        <v>2008</v>
      </c>
      <c r="I36" s="1"/>
      <c r="J36" s="4"/>
      <c r="K36" s="2" t="s">
        <v>114</v>
      </c>
    </row>
    <row r="37" spans="1:13">
      <c r="A37" s="25"/>
      <c r="B37" s="26"/>
      <c r="C37" s="26"/>
      <c r="D37" s="26"/>
      <c r="E37" s="27"/>
      <c r="F37" s="4"/>
      <c r="G37" s="5"/>
      <c r="H37" s="13"/>
      <c r="I37" s="1"/>
      <c r="J37" s="4"/>
      <c r="K37" s="1"/>
    </row>
    <row r="38" spans="1:13">
      <c r="A38" s="34"/>
      <c r="B38" s="35"/>
      <c r="C38" s="35"/>
      <c r="D38" s="35"/>
      <c r="E38" s="36"/>
      <c r="F38" s="9"/>
      <c r="G38" s="6"/>
      <c r="H38" s="14"/>
      <c r="I38" s="2"/>
      <c r="J38" s="9"/>
      <c r="K38" s="2"/>
    </row>
    <row r="39" spans="1:13">
      <c r="G39" t="s">
        <v>117</v>
      </c>
    </row>
    <row r="40" spans="1:13">
      <c r="A40" s="193" t="s">
        <v>120</v>
      </c>
      <c r="B40" s="176"/>
      <c r="C40" s="176"/>
      <c r="D40" s="176"/>
      <c r="E40" s="194"/>
      <c r="F40" s="8"/>
      <c r="G40" s="3"/>
      <c r="H40" s="12"/>
      <c r="I40" s="7"/>
      <c r="J40" s="39" t="s">
        <v>118</v>
      </c>
      <c r="K40" s="7" t="s">
        <v>119</v>
      </c>
      <c r="L40" s="5"/>
      <c r="M40" s="5"/>
    </row>
    <row r="41" spans="1:13">
      <c r="A41" s="195"/>
      <c r="B41" s="196"/>
      <c r="C41" s="196"/>
      <c r="D41" s="196"/>
      <c r="E41" s="197"/>
      <c r="F41" s="4" t="s">
        <v>121</v>
      </c>
      <c r="G41" s="5"/>
      <c r="H41" s="13"/>
      <c r="I41" s="1"/>
      <c r="J41" s="4"/>
      <c r="K41" s="1"/>
      <c r="L41" s="5"/>
      <c r="M41" s="5"/>
    </row>
    <row r="42" spans="1:13">
      <c r="A42" s="195"/>
      <c r="B42" s="196"/>
      <c r="C42" s="196"/>
      <c r="D42" s="196"/>
      <c r="E42" s="197"/>
      <c r="F42" s="4"/>
      <c r="G42" s="5"/>
      <c r="H42" s="13"/>
      <c r="I42" s="1"/>
      <c r="J42" s="4"/>
      <c r="K42" s="1"/>
      <c r="L42" s="5"/>
      <c r="M42" s="5"/>
    </row>
    <row r="43" spans="1:13">
      <c r="A43" s="198"/>
      <c r="B43" s="177"/>
      <c r="C43" s="177"/>
      <c r="D43" s="177"/>
      <c r="E43" s="199"/>
      <c r="F43" s="9"/>
      <c r="G43" s="6"/>
      <c r="H43" s="14"/>
      <c r="I43" s="2"/>
      <c r="J43" s="9"/>
      <c r="K43" s="2"/>
    </row>
  </sheetData>
  <mergeCells count="30">
    <mergeCell ref="K5:K6"/>
    <mergeCell ref="A5:E6"/>
    <mergeCell ref="F5:H6"/>
    <mergeCell ref="I5:I6"/>
    <mergeCell ref="J5:J6"/>
    <mergeCell ref="A1:E2"/>
    <mergeCell ref="A40:E43"/>
    <mergeCell ref="I3:I4"/>
    <mergeCell ref="I9:I11"/>
    <mergeCell ref="F12:H13"/>
    <mergeCell ref="F15:H15"/>
    <mergeCell ref="A12:E17"/>
    <mergeCell ref="A9:E11"/>
    <mergeCell ref="F9:H11"/>
    <mergeCell ref="F16:H16"/>
    <mergeCell ref="A3:E4"/>
    <mergeCell ref="K1:K2"/>
    <mergeCell ref="F3:H4"/>
    <mergeCell ref="J3:J4"/>
    <mergeCell ref="K3:K4"/>
    <mergeCell ref="F1:H2"/>
    <mergeCell ref="I1:I2"/>
    <mergeCell ref="J1:J2"/>
    <mergeCell ref="J9:J11"/>
    <mergeCell ref="K7:K8"/>
    <mergeCell ref="A7:E8"/>
    <mergeCell ref="F7:H8"/>
    <mergeCell ref="I7:I8"/>
    <mergeCell ref="J7:J8"/>
    <mergeCell ref="K9:K11"/>
  </mergeCells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"/>
  <sheetViews>
    <sheetView workbookViewId="0">
      <selection activeCell="A4" sqref="A4"/>
    </sheetView>
  </sheetViews>
  <sheetFormatPr defaultRowHeight="13.2"/>
  <cols>
    <col min="9" max="9" width="14.109375" customWidth="1"/>
    <col min="10" max="10" width="13.88671875" customWidth="1"/>
    <col min="11" max="11" width="28.6640625" customWidth="1"/>
  </cols>
  <sheetData>
    <row r="1" spans="1:11" ht="12.75" customHeight="1">
      <c r="A1" s="184" t="s">
        <v>32</v>
      </c>
      <c r="B1" s="185"/>
      <c r="C1" s="185"/>
      <c r="D1" s="185"/>
      <c r="E1" s="19"/>
      <c r="F1" s="185" t="s">
        <v>33</v>
      </c>
      <c r="G1" s="185"/>
      <c r="H1" s="185"/>
      <c r="I1" s="17" t="s">
        <v>34</v>
      </c>
      <c r="J1" s="179" t="s">
        <v>42</v>
      </c>
      <c r="K1" s="179" t="s">
        <v>35</v>
      </c>
    </row>
    <row r="2" spans="1:11" ht="13.8" thickBot="1">
      <c r="A2" s="15"/>
      <c r="B2" s="16"/>
      <c r="C2" s="16"/>
      <c r="D2" s="16"/>
      <c r="E2" s="20"/>
      <c r="F2" s="16"/>
      <c r="G2" s="16"/>
      <c r="H2" s="16"/>
      <c r="I2" s="18"/>
      <c r="J2" s="180"/>
      <c r="K2" s="180"/>
    </row>
    <row r="3" spans="1:11">
      <c r="A3" s="4" t="s">
        <v>103</v>
      </c>
      <c r="B3" s="5"/>
      <c r="C3" s="5"/>
      <c r="D3" s="5"/>
      <c r="E3" s="5"/>
      <c r="F3" s="4"/>
      <c r="G3" s="5" t="s">
        <v>101</v>
      </c>
      <c r="H3" s="13"/>
      <c r="I3" s="5" t="s">
        <v>96</v>
      </c>
      <c r="J3" s="1" t="s">
        <v>98</v>
      </c>
      <c r="K3" s="13" t="s">
        <v>99</v>
      </c>
    </row>
    <row r="4" spans="1:11">
      <c r="A4" s="9" t="s">
        <v>102</v>
      </c>
      <c r="B4" s="6"/>
      <c r="C4" s="6"/>
      <c r="D4" s="6"/>
      <c r="E4" s="6"/>
      <c r="F4" s="9"/>
      <c r="G4" s="6"/>
      <c r="H4" s="14"/>
      <c r="I4" s="6" t="s">
        <v>97</v>
      </c>
      <c r="J4" s="2"/>
      <c r="K4" s="14"/>
    </row>
  </sheetData>
  <mergeCells count="4">
    <mergeCell ref="A1:D1"/>
    <mergeCell ref="F1:H1"/>
    <mergeCell ref="J1:J2"/>
    <mergeCell ref="K1:K2"/>
  </mergeCells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2:G39"/>
  <sheetViews>
    <sheetView view="pageBreakPreview" workbookViewId="0">
      <selection activeCell="A39" sqref="A39"/>
    </sheetView>
  </sheetViews>
  <sheetFormatPr defaultRowHeight="13.2"/>
  <cols>
    <col min="1" max="1" width="22.5546875" customWidth="1"/>
    <col min="2" max="2" width="18.109375" customWidth="1"/>
    <col min="3" max="4" width="14" customWidth="1"/>
    <col min="5" max="5" width="17" customWidth="1"/>
    <col min="6" max="6" width="15.5546875" customWidth="1"/>
    <col min="7" max="7" width="16.33203125" customWidth="1"/>
  </cols>
  <sheetData>
    <row r="2" spans="1:7">
      <c r="A2" s="212" t="s">
        <v>184</v>
      </c>
      <c r="B2" s="212"/>
      <c r="C2" s="212"/>
      <c r="D2" s="212"/>
      <c r="E2" s="212"/>
      <c r="F2" s="212"/>
      <c r="G2" s="212"/>
    </row>
    <row r="3" spans="1:7" ht="15.6">
      <c r="A3" s="82" t="s">
        <v>183</v>
      </c>
    </row>
    <row r="4" spans="1:7">
      <c r="A4" t="s">
        <v>182</v>
      </c>
    </row>
    <row r="5" spans="1:7" ht="13.8" thickBot="1"/>
    <row r="6" spans="1:7" ht="13.8" thickBot="1">
      <c r="A6" s="213" t="s">
        <v>155</v>
      </c>
      <c r="B6" s="216" t="s">
        <v>178</v>
      </c>
      <c r="C6" s="216"/>
      <c r="D6" s="216"/>
      <c r="E6" s="217" t="s">
        <v>179</v>
      </c>
      <c r="F6" s="216"/>
      <c r="G6" s="218"/>
    </row>
    <row r="7" spans="1:7">
      <c r="A7" s="219"/>
      <c r="B7" s="223" t="s">
        <v>176</v>
      </c>
      <c r="C7" s="211" t="s">
        <v>156</v>
      </c>
      <c r="D7" s="207" t="s">
        <v>185</v>
      </c>
      <c r="E7" s="208" t="s">
        <v>177</v>
      </c>
      <c r="F7" s="211" t="s">
        <v>156</v>
      </c>
      <c r="G7" s="207" t="s">
        <v>185</v>
      </c>
    </row>
    <row r="8" spans="1:7">
      <c r="A8" s="219"/>
      <c r="B8" s="183"/>
      <c r="C8" s="178"/>
      <c r="D8" s="181"/>
      <c r="E8" s="209"/>
      <c r="F8" s="178"/>
      <c r="G8" s="181"/>
    </row>
    <row r="9" spans="1:7">
      <c r="A9" s="219"/>
      <c r="B9" s="183"/>
      <c r="C9" s="178"/>
      <c r="D9" s="181"/>
      <c r="E9" s="209"/>
      <c r="F9" s="178"/>
      <c r="G9" s="181"/>
    </row>
    <row r="10" spans="1:7">
      <c r="A10" s="220"/>
      <c r="B10" s="175"/>
      <c r="C10" s="169"/>
      <c r="D10" s="173"/>
      <c r="E10" s="210"/>
      <c r="F10" s="169"/>
      <c r="G10" s="173"/>
    </row>
    <row r="11" spans="1:7">
      <c r="A11" s="62" t="s">
        <v>157</v>
      </c>
      <c r="B11" s="49">
        <v>11.37</v>
      </c>
      <c r="C11" s="46" t="s">
        <v>158</v>
      </c>
      <c r="D11" s="72">
        <v>653.78</v>
      </c>
      <c r="E11" s="68">
        <v>10.79</v>
      </c>
      <c r="F11" s="46" t="s">
        <v>158</v>
      </c>
      <c r="G11" s="66">
        <f>10.79*57.5</f>
        <v>620.42499999999995</v>
      </c>
    </row>
    <row r="12" spans="1:7">
      <c r="A12" s="62" t="s">
        <v>159</v>
      </c>
      <c r="B12" s="49">
        <v>22.79</v>
      </c>
      <c r="C12" s="46" t="s">
        <v>160</v>
      </c>
      <c r="D12" s="72">
        <v>91.16</v>
      </c>
      <c r="E12" s="68">
        <v>22.03</v>
      </c>
      <c r="F12" s="46" t="s">
        <v>160</v>
      </c>
      <c r="G12" s="67">
        <f>22.03*4</f>
        <v>88.12</v>
      </c>
    </row>
    <row r="13" spans="1:7">
      <c r="A13" s="62" t="s">
        <v>161</v>
      </c>
      <c r="B13" s="49">
        <v>687.93</v>
      </c>
      <c r="C13" s="46" t="s">
        <v>170</v>
      </c>
      <c r="D13" s="72">
        <v>1186.68</v>
      </c>
      <c r="E13" s="68">
        <v>882.29</v>
      </c>
      <c r="F13" s="46" t="s">
        <v>170</v>
      </c>
      <c r="G13" s="66">
        <f>882.29*1.725</f>
        <v>1521.9502500000001</v>
      </c>
    </row>
    <row r="14" spans="1:7">
      <c r="A14" s="62" t="s">
        <v>162</v>
      </c>
      <c r="B14" s="49">
        <v>11.72</v>
      </c>
      <c r="C14" s="46" t="s">
        <v>168</v>
      </c>
      <c r="D14" s="72">
        <v>225.02</v>
      </c>
      <c r="E14" s="68">
        <v>13.09</v>
      </c>
      <c r="F14" s="46" t="s">
        <v>168</v>
      </c>
      <c r="G14" s="66">
        <f>13.09*19.2</f>
        <v>251.32799999999997</v>
      </c>
    </row>
    <row r="15" spans="1:7">
      <c r="A15" s="62" t="s">
        <v>163</v>
      </c>
      <c r="B15" s="49">
        <v>53.77</v>
      </c>
      <c r="C15" s="46" t="s">
        <v>164</v>
      </c>
      <c r="D15" s="72">
        <v>774.29</v>
      </c>
      <c r="E15" s="68">
        <v>68.319999999999993</v>
      </c>
      <c r="F15" s="46" t="s">
        <v>164</v>
      </c>
      <c r="G15" s="66">
        <f>68.32*14.4</f>
        <v>983.80799999999988</v>
      </c>
    </row>
    <row r="16" spans="1:7">
      <c r="A16" s="62" t="s">
        <v>165</v>
      </c>
      <c r="B16" s="49">
        <v>8.35</v>
      </c>
      <c r="C16" s="46" t="s">
        <v>166</v>
      </c>
      <c r="D16" s="72">
        <v>280.56</v>
      </c>
      <c r="E16" s="68">
        <v>11.15</v>
      </c>
      <c r="F16" s="46" t="s">
        <v>166</v>
      </c>
      <c r="G16" s="67">
        <f>11.15*33.6</f>
        <v>374.64000000000004</v>
      </c>
    </row>
    <row r="17" spans="1:7">
      <c r="A17" s="62" t="s">
        <v>167</v>
      </c>
      <c r="B17" s="49">
        <v>1.53</v>
      </c>
      <c r="C17" s="46" t="s">
        <v>158</v>
      </c>
      <c r="D17" s="72">
        <v>87.98</v>
      </c>
      <c r="E17" s="69">
        <v>1.53</v>
      </c>
      <c r="F17" s="48" t="s">
        <v>158</v>
      </c>
      <c r="G17" s="70">
        <f>1.53*57.5</f>
        <v>87.975000000000009</v>
      </c>
    </row>
    <row r="18" spans="1:7" ht="13.8" thickBot="1">
      <c r="A18" s="63" t="s">
        <v>169</v>
      </c>
      <c r="B18" s="61"/>
      <c r="C18" s="61"/>
      <c r="D18" s="73">
        <f>SUM(D11:D17)</f>
        <v>3299.47</v>
      </c>
      <c r="E18" s="64"/>
      <c r="F18" s="65"/>
      <c r="G18" s="71">
        <f>SUM(G11:G17)</f>
        <v>3928.2462499999997</v>
      </c>
    </row>
    <row r="19" spans="1:7">
      <c r="A19" s="5"/>
      <c r="B19" s="5"/>
      <c r="C19" s="5"/>
      <c r="D19" s="47"/>
      <c r="E19" s="5"/>
      <c r="F19" s="5"/>
      <c r="G19" s="74"/>
    </row>
    <row r="21" spans="1:7" ht="15.6">
      <c r="A21" s="84" t="s">
        <v>180</v>
      </c>
    </row>
    <row r="22" spans="1:7">
      <c r="A22" t="s">
        <v>181</v>
      </c>
    </row>
    <row r="23" spans="1:7" ht="13.8" thickBot="1">
      <c r="A23" s="82"/>
    </row>
    <row r="24" spans="1:7" ht="13.8" thickBot="1">
      <c r="A24" s="213" t="s">
        <v>155</v>
      </c>
      <c r="B24" s="216" t="s">
        <v>178</v>
      </c>
      <c r="C24" s="216"/>
      <c r="D24" s="216"/>
      <c r="E24" s="217" t="s">
        <v>179</v>
      </c>
      <c r="F24" s="216"/>
      <c r="G24" s="218"/>
    </row>
    <row r="25" spans="1:7" ht="12.75" customHeight="1">
      <c r="A25" s="214"/>
      <c r="B25" s="172" t="s">
        <v>176</v>
      </c>
      <c r="C25" s="168" t="s">
        <v>156</v>
      </c>
      <c r="D25" s="207" t="s">
        <v>185</v>
      </c>
      <c r="E25" s="221" t="s">
        <v>177</v>
      </c>
      <c r="F25" s="168" t="s">
        <v>156</v>
      </c>
      <c r="G25" s="207" t="s">
        <v>185</v>
      </c>
    </row>
    <row r="26" spans="1:7">
      <c r="A26" s="214"/>
      <c r="B26" s="183"/>
      <c r="C26" s="178"/>
      <c r="D26" s="181"/>
      <c r="E26" s="221"/>
      <c r="F26" s="178"/>
      <c r="G26" s="181"/>
    </row>
    <row r="27" spans="1:7">
      <c r="A27" s="214"/>
      <c r="B27" s="183"/>
      <c r="C27" s="178"/>
      <c r="D27" s="181"/>
      <c r="E27" s="221"/>
      <c r="F27" s="178"/>
      <c r="G27" s="181"/>
    </row>
    <row r="28" spans="1:7">
      <c r="A28" s="215"/>
      <c r="B28" s="175"/>
      <c r="C28" s="169"/>
      <c r="D28" s="173"/>
      <c r="E28" s="222"/>
      <c r="F28" s="169"/>
      <c r="G28" s="173"/>
    </row>
    <row r="29" spans="1:7">
      <c r="A29" s="62" t="s">
        <v>157</v>
      </c>
      <c r="B29" s="49">
        <v>11.37</v>
      </c>
      <c r="C29" s="46" t="s">
        <v>171</v>
      </c>
      <c r="D29" s="79">
        <f>11.37*45.2</f>
        <v>513.92399999999998</v>
      </c>
      <c r="E29" s="68">
        <v>10.79</v>
      </c>
      <c r="F29" s="46" t="s">
        <v>171</v>
      </c>
      <c r="G29" s="80">
        <f>10.79*45.2</f>
        <v>487.70799999999997</v>
      </c>
    </row>
    <row r="30" spans="1:7">
      <c r="A30" s="62" t="s">
        <v>159</v>
      </c>
      <c r="B30" s="49">
        <v>22.79</v>
      </c>
      <c r="C30" s="46" t="s">
        <v>172</v>
      </c>
      <c r="D30" s="78">
        <f>22.79*1</f>
        <v>22.79</v>
      </c>
      <c r="E30" s="68">
        <v>22.03</v>
      </c>
      <c r="F30" s="46" t="s">
        <v>172</v>
      </c>
      <c r="G30" s="81">
        <f>22.03*1</f>
        <v>22.03</v>
      </c>
    </row>
    <row r="31" spans="1:7">
      <c r="A31" s="62" t="s">
        <v>161</v>
      </c>
      <c r="B31" s="76">
        <f>687.93*0.03</f>
        <v>20.637899999999998</v>
      </c>
      <c r="C31" s="46" t="s">
        <v>171</v>
      </c>
      <c r="D31" s="79">
        <f>20.64*45.2</f>
        <v>932.92800000000011</v>
      </c>
      <c r="E31" s="68">
        <v>26.47</v>
      </c>
      <c r="F31" s="46" t="s">
        <v>171</v>
      </c>
      <c r="G31" s="80">
        <f>26.47*45.2</f>
        <v>1196.444</v>
      </c>
    </row>
    <row r="32" spans="1:7">
      <c r="A32" s="62" t="s">
        <v>162</v>
      </c>
      <c r="B32" s="49">
        <v>11.72</v>
      </c>
      <c r="C32" s="46" t="s">
        <v>175</v>
      </c>
      <c r="D32" s="79">
        <f>11.72*4.8</f>
        <v>56.256</v>
      </c>
      <c r="E32" s="68">
        <v>13.09</v>
      </c>
      <c r="F32" s="46" t="s">
        <v>175</v>
      </c>
      <c r="G32" s="80">
        <f>13.09*4.8</f>
        <v>62.831999999999994</v>
      </c>
    </row>
    <row r="33" spans="1:7">
      <c r="A33" s="62" t="s">
        <v>163</v>
      </c>
      <c r="B33" s="49">
        <v>53.77</v>
      </c>
      <c r="C33" s="46" t="s">
        <v>174</v>
      </c>
      <c r="D33" s="79">
        <f>53.77*3.6</f>
        <v>193.572</v>
      </c>
      <c r="E33" s="68">
        <v>68.319999999999993</v>
      </c>
      <c r="F33" s="46" t="s">
        <v>174</v>
      </c>
      <c r="G33" s="80">
        <f>68.32*3.6</f>
        <v>245.95199999999997</v>
      </c>
    </row>
    <row r="34" spans="1:7">
      <c r="A34" s="62" t="s">
        <v>165</v>
      </c>
      <c r="B34" s="49">
        <v>8.35</v>
      </c>
      <c r="C34" s="46" t="s">
        <v>173</v>
      </c>
      <c r="D34" s="78">
        <f>8.35*8.4</f>
        <v>70.14</v>
      </c>
      <c r="E34" s="68">
        <v>11.15</v>
      </c>
      <c r="F34" s="46" t="s">
        <v>173</v>
      </c>
      <c r="G34" s="81">
        <f>11.15*8.4</f>
        <v>93.660000000000011</v>
      </c>
    </row>
    <row r="35" spans="1:7">
      <c r="A35" s="62" t="s">
        <v>167</v>
      </c>
      <c r="B35" s="49">
        <v>1.53</v>
      </c>
      <c r="C35" s="46" t="s">
        <v>171</v>
      </c>
      <c r="D35" s="79">
        <f>1.53*45.2</f>
        <v>69.156000000000006</v>
      </c>
      <c r="E35" s="68">
        <v>1.53</v>
      </c>
      <c r="F35" s="46" t="s">
        <v>171</v>
      </c>
      <c r="G35" s="80">
        <f>1.53*45.2</f>
        <v>69.156000000000006</v>
      </c>
    </row>
    <row r="36" spans="1:7">
      <c r="A36" s="62"/>
      <c r="B36" s="83"/>
      <c r="C36" s="47"/>
      <c r="D36" s="72"/>
      <c r="E36" s="69"/>
      <c r="F36" s="48"/>
      <c r="G36" s="70"/>
    </row>
    <row r="37" spans="1:7" ht="13.8" thickBot="1">
      <c r="A37" s="63" t="s">
        <v>169</v>
      </c>
      <c r="B37" s="61"/>
      <c r="C37" s="61"/>
      <c r="D37" s="77">
        <f>SUM(D29:D35)</f>
        <v>1858.7660000000003</v>
      </c>
      <c r="E37" s="15"/>
      <c r="F37" s="16"/>
      <c r="G37" s="75">
        <f>SUM(G29:G36)</f>
        <v>2177.7819999999997</v>
      </c>
    </row>
    <row r="39" spans="1:7">
      <c r="A39" t="s">
        <v>186</v>
      </c>
    </row>
  </sheetData>
  <mergeCells count="19">
    <mergeCell ref="A24:A28"/>
    <mergeCell ref="B24:D24"/>
    <mergeCell ref="E24:G24"/>
    <mergeCell ref="A6:A10"/>
    <mergeCell ref="B6:D6"/>
    <mergeCell ref="E6:G6"/>
    <mergeCell ref="B25:B28"/>
    <mergeCell ref="C25:C28"/>
    <mergeCell ref="D25:D28"/>
    <mergeCell ref="E25:E28"/>
    <mergeCell ref="F25:F28"/>
    <mergeCell ref="G25:G28"/>
    <mergeCell ref="B7:B10"/>
    <mergeCell ref="C7:C10"/>
    <mergeCell ref="D7:D10"/>
    <mergeCell ref="E7:E10"/>
    <mergeCell ref="F7:F10"/>
    <mergeCell ref="G7:G10"/>
    <mergeCell ref="A2:G2"/>
  </mergeCells>
  <phoneticPr fontId="10" type="noConversion"/>
  <pageMargins left="0.75" right="0.75" top="1" bottom="0.23" header="0.5" footer="0.19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CM35"/>
  <sheetViews>
    <sheetView tabSelected="1" workbookViewId="0">
      <pane xSplit="5" ySplit="7" topLeftCell="G8" activePane="bottomRight" state="frozen"/>
      <selection pane="topRight" activeCell="F1" sqref="F1"/>
      <selection pane="bottomLeft" activeCell="A8" sqref="A8"/>
      <selection pane="bottomRight" activeCell="CO21" sqref="CO21"/>
    </sheetView>
  </sheetViews>
  <sheetFormatPr defaultRowHeight="13.2"/>
  <cols>
    <col min="1" max="1" width="7.33203125" customWidth="1"/>
    <col min="2" max="2" width="14.6640625" customWidth="1"/>
    <col min="3" max="3" width="20.44140625" customWidth="1"/>
    <col min="4" max="4" width="19.109375" customWidth="1"/>
    <col min="5" max="5" width="34.88671875" customWidth="1"/>
    <col min="6" max="6" width="14.5546875" hidden="1" customWidth="1"/>
    <col min="7" max="7" width="14" hidden="1" customWidth="1"/>
    <col min="8" max="8" width="14.33203125" hidden="1" customWidth="1"/>
    <col min="9" max="9" width="12.109375" hidden="1" customWidth="1"/>
    <col min="10" max="10" width="13.44140625" hidden="1" customWidth="1"/>
    <col min="11" max="11" width="11.5546875" hidden="1" customWidth="1"/>
    <col min="12" max="12" width="11.109375" hidden="1" customWidth="1"/>
    <col min="13" max="13" width="13" hidden="1" customWidth="1"/>
    <col min="14" max="14" width="13.5546875" hidden="1" customWidth="1"/>
    <col min="15" max="15" width="11.88671875" hidden="1" customWidth="1"/>
    <col min="16" max="16" width="14.5546875" hidden="1" customWidth="1"/>
    <col min="17" max="17" width="12.109375" hidden="1" customWidth="1"/>
    <col min="18" max="18" width="12.33203125" hidden="1" customWidth="1"/>
    <col min="19" max="19" width="11.33203125" hidden="1" customWidth="1"/>
    <col min="20" max="20" width="12.33203125" hidden="1" customWidth="1"/>
    <col min="21" max="21" width="12.44140625" hidden="1" customWidth="1"/>
    <col min="22" max="22" width="11.88671875" hidden="1" customWidth="1"/>
    <col min="23" max="24" width="12.44140625" hidden="1" customWidth="1"/>
    <col min="25" max="25" width="11.6640625" hidden="1" customWidth="1"/>
    <col min="26" max="28" width="12.88671875" hidden="1" customWidth="1"/>
    <col min="29" max="29" width="13.33203125" hidden="1" customWidth="1"/>
    <col min="30" max="30" width="13.88671875" hidden="1" customWidth="1"/>
    <col min="31" max="31" width="13.5546875" hidden="1" customWidth="1"/>
    <col min="32" max="32" width="13.109375" hidden="1" customWidth="1"/>
    <col min="33" max="33" width="11.6640625" hidden="1" customWidth="1"/>
    <col min="34" max="34" width="12.6640625" hidden="1" customWidth="1"/>
    <col min="35" max="35" width="11.44140625" hidden="1" customWidth="1"/>
    <col min="36" max="36" width="11.88671875" hidden="1" customWidth="1"/>
    <col min="37" max="38" width="12.88671875" hidden="1" customWidth="1"/>
    <col min="39" max="39" width="13.33203125" hidden="1" customWidth="1"/>
    <col min="40" max="40" width="11.33203125" hidden="1" customWidth="1"/>
    <col min="41" max="41" width="12" hidden="1" customWidth="1"/>
    <col min="42" max="42" width="12.44140625" hidden="1" customWidth="1"/>
    <col min="43" max="43" width="11.5546875" hidden="1" customWidth="1"/>
    <col min="44" max="44" width="13.88671875" hidden="1" customWidth="1"/>
    <col min="45" max="45" width="12.6640625" hidden="1" customWidth="1"/>
    <col min="46" max="46" width="11" hidden="1" customWidth="1"/>
    <col min="47" max="47" width="11.6640625" hidden="1" customWidth="1"/>
    <col min="48" max="48" width="11.88671875" hidden="1" customWidth="1"/>
    <col min="49" max="49" width="12.88671875" hidden="1" customWidth="1"/>
    <col min="50" max="50" width="11.88671875" hidden="1" customWidth="1"/>
    <col min="51" max="51" width="13.88671875" hidden="1" customWidth="1"/>
    <col min="52" max="52" width="14.109375" hidden="1" customWidth="1"/>
    <col min="53" max="53" width="13.5546875" hidden="1" customWidth="1"/>
    <col min="54" max="54" width="14.21875" customWidth="1"/>
    <col min="55" max="55" width="12.5546875" hidden="1" customWidth="1"/>
    <col min="56" max="56" width="13.33203125" hidden="1" customWidth="1"/>
    <col min="57" max="57" width="12.88671875" hidden="1" customWidth="1"/>
    <col min="58" max="58" width="13.33203125" hidden="1" customWidth="1"/>
    <col min="59" max="59" width="11.6640625" hidden="1" customWidth="1"/>
    <col min="60" max="60" width="11.44140625" hidden="1" customWidth="1"/>
    <col min="61" max="61" width="11.5546875" hidden="1" customWidth="1"/>
    <col min="62" max="62" width="12" hidden="1" customWidth="1"/>
    <col min="63" max="63" width="11.6640625" hidden="1" customWidth="1"/>
    <col min="64" max="64" width="13.88671875" hidden="1" customWidth="1"/>
    <col min="65" max="66" width="12.33203125" hidden="1" customWidth="1"/>
    <col min="67" max="67" width="13.88671875" hidden="1" customWidth="1"/>
    <col min="68" max="68" width="13.109375" hidden="1" customWidth="1"/>
    <col min="69" max="69" width="13.33203125" hidden="1" customWidth="1"/>
    <col min="70" max="70" width="11.88671875" hidden="1" customWidth="1"/>
    <col min="71" max="71" width="10.88671875" hidden="1" customWidth="1"/>
    <col min="72" max="72" width="11.88671875" hidden="1" customWidth="1"/>
    <col min="73" max="73" width="12.44140625" hidden="1" customWidth="1"/>
    <col min="74" max="74" width="11" hidden="1" customWidth="1"/>
    <col min="75" max="75" width="11.88671875" hidden="1" customWidth="1"/>
    <col min="76" max="76" width="10.6640625" hidden="1" customWidth="1"/>
    <col min="77" max="77" width="11" hidden="1" customWidth="1"/>
    <col min="78" max="78" width="12.5546875" hidden="1" customWidth="1"/>
    <col min="79" max="79" width="14.5546875" hidden="1" customWidth="1"/>
    <col min="80" max="80" width="15.33203125" hidden="1" customWidth="1"/>
    <col min="81" max="81" width="15" hidden="1" customWidth="1"/>
    <col min="82" max="82" width="15.33203125" hidden="1" customWidth="1"/>
    <col min="83" max="83" width="15.109375" hidden="1" customWidth="1"/>
    <col min="84" max="84" width="15.6640625" hidden="1" customWidth="1"/>
    <col min="85" max="85" width="16.109375" hidden="1" customWidth="1"/>
    <col min="86" max="86" width="17.5546875" hidden="1" customWidth="1"/>
    <col min="87" max="87" width="15.44140625" hidden="1" customWidth="1"/>
    <col min="88" max="88" width="15.5546875" hidden="1" customWidth="1"/>
    <col min="89" max="89" width="11.88671875" hidden="1" customWidth="1"/>
    <col min="90" max="90" width="13.5546875" hidden="1" customWidth="1"/>
    <col min="91" max="91" width="1.6640625" customWidth="1"/>
    <col min="93" max="93" width="10.109375" bestFit="1" customWidth="1"/>
  </cols>
  <sheetData>
    <row r="1" spans="1:90">
      <c r="A1" s="246" t="s">
        <v>124</v>
      </c>
      <c r="B1" s="246"/>
      <c r="C1" s="246"/>
      <c r="D1" s="246"/>
      <c r="E1" s="246"/>
      <c r="F1" s="246"/>
      <c r="W1" s="10"/>
    </row>
    <row r="2" spans="1:90" ht="18.75" customHeight="1">
      <c r="A2" s="255" t="s">
        <v>257</v>
      </c>
      <c r="B2" s="255"/>
      <c r="C2" s="255"/>
      <c r="D2" s="255"/>
      <c r="E2" s="255"/>
      <c r="F2" s="255"/>
      <c r="W2" s="10"/>
    </row>
    <row r="3" spans="1:90" ht="39.75" customHeight="1">
      <c r="A3" s="255"/>
      <c r="B3" s="255"/>
      <c r="C3" s="255"/>
      <c r="D3" s="255"/>
      <c r="E3" s="255"/>
      <c r="F3" s="255"/>
      <c r="W3" s="10"/>
    </row>
    <row r="4" spans="1:90">
      <c r="B4" s="10"/>
      <c r="C4" s="11"/>
      <c r="D4" s="11"/>
      <c r="E4" s="11"/>
      <c r="F4" s="11"/>
      <c r="W4" s="10"/>
      <c r="CA4" s="41"/>
    </row>
    <row r="5" spans="1:90" ht="12.75" customHeight="1">
      <c r="A5" s="168" t="s">
        <v>0</v>
      </c>
      <c r="B5" s="250" t="s">
        <v>1</v>
      </c>
      <c r="C5" s="204"/>
      <c r="D5" s="204"/>
      <c r="E5" s="205"/>
      <c r="F5" s="257" t="s">
        <v>136</v>
      </c>
      <c r="G5" s="230" t="s">
        <v>4</v>
      </c>
      <c r="H5" s="230" t="s">
        <v>190</v>
      </c>
      <c r="I5" s="224" t="s">
        <v>26</v>
      </c>
      <c r="J5" s="230" t="s">
        <v>191</v>
      </c>
      <c r="K5" s="224" t="s">
        <v>192</v>
      </c>
      <c r="L5" s="224" t="s">
        <v>193</v>
      </c>
      <c r="M5" s="224" t="s">
        <v>5</v>
      </c>
      <c r="N5" s="224" t="s">
        <v>6</v>
      </c>
      <c r="O5" s="224" t="s">
        <v>30</v>
      </c>
      <c r="P5" s="230" t="s">
        <v>194</v>
      </c>
      <c r="Q5" s="224" t="s">
        <v>195</v>
      </c>
      <c r="R5" s="224" t="s">
        <v>196</v>
      </c>
      <c r="S5" s="224" t="s">
        <v>197</v>
      </c>
      <c r="T5" s="224" t="s">
        <v>16</v>
      </c>
      <c r="U5" s="230" t="s">
        <v>17</v>
      </c>
      <c r="V5" s="230" t="s">
        <v>18</v>
      </c>
      <c r="W5" s="224" t="s">
        <v>19</v>
      </c>
      <c r="X5" s="239" t="s">
        <v>20</v>
      </c>
      <c r="Y5" s="241" t="s">
        <v>15</v>
      </c>
      <c r="Z5" s="239" t="s">
        <v>7</v>
      </c>
      <c r="AA5" s="237" t="s">
        <v>21</v>
      </c>
      <c r="AB5" s="224" t="s">
        <v>8</v>
      </c>
      <c r="AC5" s="224" t="s">
        <v>10</v>
      </c>
      <c r="AD5" s="230" t="s">
        <v>11</v>
      </c>
      <c r="AE5" s="230" t="s">
        <v>9</v>
      </c>
      <c r="AF5" s="224" t="s">
        <v>22</v>
      </c>
      <c r="AG5" s="224" t="s">
        <v>23</v>
      </c>
      <c r="AH5" s="224" t="s">
        <v>24</v>
      </c>
      <c r="AI5" s="224" t="s">
        <v>25</v>
      </c>
      <c r="AJ5" s="224" t="s">
        <v>198</v>
      </c>
      <c r="AK5" s="224" t="s">
        <v>199</v>
      </c>
      <c r="AL5" s="224" t="s">
        <v>200</v>
      </c>
      <c r="AM5" s="224" t="s">
        <v>201</v>
      </c>
      <c r="AN5" s="224" t="s">
        <v>202</v>
      </c>
      <c r="AO5" s="230" t="s">
        <v>203</v>
      </c>
      <c r="AP5" s="224" t="s">
        <v>204</v>
      </c>
      <c r="AQ5" s="224" t="s">
        <v>205</v>
      </c>
      <c r="AR5" s="224" t="s">
        <v>206</v>
      </c>
      <c r="AS5" s="224" t="s">
        <v>207</v>
      </c>
      <c r="AT5" s="224" t="s">
        <v>208</v>
      </c>
      <c r="AU5" s="224" t="s">
        <v>209</v>
      </c>
      <c r="AV5" s="237" t="s">
        <v>210</v>
      </c>
      <c r="AW5" s="224" t="s">
        <v>211</v>
      </c>
      <c r="AX5" s="241" t="s">
        <v>212</v>
      </c>
      <c r="AY5" s="224" t="s">
        <v>213</v>
      </c>
      <c r="AZ5" s="224" t="s">
        <v>214</v>
      </c>
      <c r="BA5" s="224" t="s">
        <v>215</v>
      </c>
      <c r="BB5" s="230" t="s">
        <v>14</v>
      </c>
      <c r="BC5" s="224" t="s">
        <v>12</v>
      </c>
      <c r="BD5" s="224" t="s">
        <v>154</v>
      </c>
      <c r="BE5" s="224" t="s">
        <v>216</v>
      </c>
      <c r="BF5" s="224" t="s">
        <v>13</v>
      </c>
      <c r="BG5" s="230" t="s">
        <v>217</v>
      </c>
      <c r="BH5" s="224" t="s">
        <v>218</v>
      </c>
      <c r="BI5" s="243" t="s">
        <v>219</v>
      </c>
      <c r="BJ5" s="224" t="s">
        <v>220</v>
      </c>
      <c r="BK5" s="224" t="s">
        <v>221</v>
      </c>
      <c r="BL5" s="224" t="s">
        <v>222</v>
      </c>
      <c r="BM5" s="224" t="s">
        <v>223</v>
      </c>
      <c r="BN5" s="224" t="s">
        <v>224</v>
      </c>
      <c r="BO5" s="224" t="s">
        <v>225</v>
      </c>
      <c r="BP5" s="224" t="s">
        <v>226</v>
      </c>
      <c r="BQ5" s="224" t="s">
        <v>227</v>
      </c>
      <c r="BR5" s="224" t="s">
        <v>228</v>
      </c>
      <c r="BS5" s="224" t="s">
        <v>27</v>
      </c>
      <c r="BT5" s="224" t="s">
        <v>28</v>
      </c>
      <c r="BU5" s="224" t="s">
        <v>29</v>
      </c>
      <c r="BV5" s="245" t="s">
        <v>229</v>
      </c>
      <c r="BW5" s="224" t="s">
        <v>230</v>
      </c>
      <c r="BX5" s="224" t="s">
        <v>231</v>
      </c>
      <c r="BY5" s="224" t="s">
        <v>232</v>
      </c>
      <c r="BZ5" s="224" t="s">
        <v>233</v>
      </c>
      <c r="CA5" s="224" t="s">
        <v>234</v>
      </c>
      <c r="CB5" s="224" t="s">
        <v>235</v>
      </c>
      <c r="CC5" s="224" t="s">
        <v>236</v>
      </c>
      <c r="CD5" s="224" t="s">
        <v>237</v>
      </c>
      <c r="CE5" s="224" t="s">
        <v>238</v>
      </c>
      <c r="CF5" s="224" t="s">
        <v>239</v>
      </c>
      <c r="CG5" s="224" t="s">
        <v>240</v>
      </c>
      <c r="CH5" s="224" t="s">
        <v>241</v>
      </c>
      <c r="CI5" s="224" t="s">
        <v>242</v>
      </c>
      <c r="CJ5" s="224" t="s">
        <v>243</v>
      </c>
      <c r="CK5" s="224" t="s">
        <v>244</v>
      </c>
      <c r="CL5" s="224" t="s">
        <v>245</v>
      </c>
    </row>
    <row r="6" spans="1:90" ht="15.75" customHeight="1">
      <c r="A6" s="249"/>
      <c r="B6" s="201"/>
      <c r="C6" s="202"/>
      <c r="D6" s="202"/>
      <c r="E6" s="203"/>
      <c r="F6" s="258"/>
      <c r="G6" s="231"/>
      <c r="H6" s="231"/>
      <c r="I6" s="225"/>
      <c r="J6" s="231"/>
      <c r="K6" s="225"/>
      <c r="L6" s="225"/>
      <c r="M6" s="225"/>
      <c r="N6" s="225"/>
      <c r="O6" s="225"/>
      <c r="P6" s="231"/>
      <c r="Q6" s="225"/>
      <c r="R6" s="225"/>
      <c r="S6" s="225"/>
      <c r="T6" s="225"/>
      <c r="U6" s="231"/>
      <c r="V6" s="231"/>
      <c r="W6" s="225"/>
      <c r="X6" s="240"/>
      <c r="Y6" s="242"/>
      <c r="Z6" s="240"/>
      <c r="AA6" s="238"/>
      <c r="AB6" s="225"/>
      <c r="AC6" s="225"/>
      <c r="AD6" s="231"/>
      <c r="AE6" s="231"/>
      <c r="AF6" s="225"/>
      <c r="AG6" s="225"/>
      <c r="AH6" s="225"/>
      <c r="AI6" s="225"/>
      <c r="AJ6" s="225"/>
      <c r="AK6" s="225"/>
      <c r="AL6" s="225"/>
      <c r="AM6" s="225"/>
      <c r="AN6" s="225"/>
      <c r="AO6" s="231"/>
      <c r="AP6" s="225"/>
      <c r="AQ6" s="225"/>
      <c r="AR6" s="225"/>
      <c r="AS6" s="225"/>
      <c r="AT6" s="225"/>
      <c r="AU6" s="225"/>
      <c r="AV6" s="238"/>
      <c r="AW6" s="225"/>
      <c r="AX6" s="242"/>
      <c r="AY6" s="225"/>
      <c r="AZ6" s="225"/>
      <c r="BA6" s="225"/>
      <c r="BB6" s="231"/>
      <c r="BC6" s="225"/>
      <c r="BD6" s="225"/>
      <c r="BE6" s="225"/>
      <c r="BF6" s="225"/>
      <c r="BG6" s="231"/>
      <c r="BH6" s="225"/>
      <c r="BI6" s="244"/>
      <c r="BJ6" s="225"/>
      <c r="BK6" s="225"/>
      <c r="BL6" s="225"/>
      <c r="BM6" s="225"/>
      <c r="BN6" s="225"/>
      <c r="BO6" s="225"/>
      <c r="BP6" s="225"/>
      <c r="BQ6" s="225"/>
      <c r="BR6" s="225"/>
      <c r="BS6" s="225"/>
      <c r="BT6" s="225"/>
      <c r="BU6" s="225"/>
      <c r="BV6" s="225"/>
      <c r="BW6" s="225"/>
      <c r="BX6" s="225"/>
      <c r="BY6" s="225"/>
      <c r="BZ6" s="225"/>
      <c r="CA6" s="225"/>
      <c r="CB6" s="225"/>
      <c r="CC6" s="225"/>
      <c r="CD6" s="225"/>
      <c r="CE6" s="225"/>
      <c r="CF6" s="225"/>
      <c r="CG6" s="225"/>
      <c r="CH6" s="225"/>
      <c r="CI6" s="225"/>
      <c r="CJ6" s="225"/>
      <c r="CK6" s="225"/>
      <c r="CL6" s="225"/>
    </row>
    <row r="7" spans="1:90" ht="0.75" customHeight="1">
      <c r="A7" s="249"/>
      <c r="B7" s="201"/>
      <c r="C7" s="202"/>
      <c r="D7" s="202"/>
      <c r="E7" s="203"/>
      <c r="F7" s="258"/>
      <c r="G7" s="231"/>
      <c r="H7" s="231"/>
      <c r="I7" s="232"/>
      <c r="J7" s="231"/>
      <c r="K7" s="225"/>
      <c r="L7" s="225"/>
      <c r="M7" s="225"/>
      <c r="N7" s="225"/>
      <c r="O7" s="225"/>
      <c r="P7" s="231"/>
      <c r="Q7" s="225"/>
      <c r="R7" s="225"/>
      <c r="S7" s="225"/>
      <c r="T7" s="225"/>
      <c r="U7" s="231"/>
      <c r="V7" s="231"/>
      <c r="W7" s="232"/>
      <c r="X7" s="240"/>
      <c r="Y7" s="242"/>
      <c r="Z7" s="240"/>
      <c r="AA7" s="238"/>
      <c r="AB7" s="225"/>
      <c r="AC7" s="225"/>
      <c r="AD7" s="231"/>
      <c r="AE7" s="231"/>
      <c r="AF7" s="225"/>
      <c r="AG7" s="225"/>
      <c r="AH7" s="225"/>
      <c r="AI7" s="225"/>
      <c r="AJ7" s="225"/>
      <c r="AK7" s="225"/>
      <c r="AL7" s="225"/>
      <c r="AM7" s="225"/>
      <c r="AN7" s="225"/>
      <c r="AO7" s="231"/>
      <c r="AP7" s="225"/>
      <c r="AQ7" s="225"/>
      <c r="AR7" s="225"/>
      <c r="AS7" s="225"/>
      <c r="AT7" s="225"/>
      <c r="AU7" s="225"/>
      <c r="AV7" s="238"/>
      <c r="AW7" s="225"/>
      <c r="AX7" s="242"/>
      <c r="AY7" s="225"/>
      <c r="AZ7" s="225"/>
      <c r="BA7" s="225"/>
      <c r="BB7" s="231"/>
      <c r="BC7" s="225"/>
      <c r="BD7" s="225"/>
      <c r="BE7" s="225"/>
      <c r="BF7" s="225"/>
      <c r="BG7" s="231"/>
      <c r="BH7" s="225"/>
      <c r="BI7" s="244"/>
      <c r="BJ7" s="225"/>
      <c r="BK7" s="225"/>
      <c r="BL7" s="225"/>
      <c r="BM7" s="225"/>
      <c r="BN7" s="225"/>
      <c r="BO7" s="225"/>
      <c r="BP7" s="225"/>
      <c r="BQ7" s="225"/>
      <c r="BR7" s="225"/>
      <c r="BS7" s="225"/>
      <c r="BT7" s="225"/>
      <c r="BU7" s="225"/>
      <c r="BV7" s="225"/>
      <c r="BW7" s="225"/>
      <c r="BX7" s="225"/>
      <c r="BY7" s="225"/>
      <c r="BZ7" s="225"/>
      <c r="CA7" s="225"/>
      <c r="CB7" s="225"/>
      <c r="CC7" s="225"/>
      <c r="CD7" s="225"/>
      <c r="CE7" s="225"/>
      <c r="CF7" s="225"/>
      <c r="CG7" s="225"/>
      <c r="CH7" s="225"/>
      <c r="CI7" s="225"/>
      <c r="CJ7" s="225"/>
      <c r="CK7" s="225"/>
      <c r="CL7" s="225"/>
    </row>
    <row r="8" spans="1:90">
      <c r="A8" s="40"/>
      <c r="B8" s="204" t="s">
        <v>122</v>
      </c>
      <c r="C8" s="204"/>
      <c r="D8" s="204"/>
      <c r="E8" s="204"/>
      <c r="F8" s="86">
        <f t="shared" ref="F8:F27" si="0">SUM(G8:CL8)</f>
        <v>105113.52000000002</v>
      </c>
      <c r="G8" s="139">
        <v>2278.2199999999998</v>
      </c>
      <c r="H8" s="87">
        <v>3158</v>
      </c>
      <c r="I8" s="87">
        <f>396+141.9</f>
        <v>537.9</v>
      </c>
      <c r="J8" s="87">
        <v>4413.3999999999996</v>
      </c>
      <c r="K8" s="87">
        <v>313.8</v>
      </c>
      <c r="L8" s="87">
        <v>534.20000000000005</v>
      </c>
      <c r="M8" s="87">
        <v>2485</v>
      </c>
      <c r="N8" s="87">
        <v>2506.1999999999998</v>
      </c>
      <c r="O8" s="87">
        <v>57.3</v>
      </c>
      <c r="P8" s="87">
        <f>349.2+519.8</f>
        <v>869</v>
      </c>
      <c r="Q8" s="87">
        <f>822.3+85.5</f>
        <v>907.8</v>
      </c>
      <c r="R8" s="87">
        <f>792.2+398.6</f>
        <v>1190.8000000000002</v>
      </c>
      <c r="S8" s="87">
        <v>643.1</v>
      </c>
      <c r="T8" s="87">
        <f>935.2+327.6</f>
        <v>1262.8000000000002</v>
      </c>
      <c r="U8" s="87">
        <f>446.6+77</f>
        <v>523.6</v>
      </c>
      <c r="V8" s="87">
        <f>313.3+67.6</f>
        <v>380.9</v>
      </c>
      <c r="W8" s="87">
        <v>284.3</v>
      </c>
      <c r="X8" s="87">
        <v>628.1</v>
      </c>
      <c r="Y8" s="87">
        <v>1252.7</v>
      </c>
      <c r="Z8" s="87">
        <v>2961.5</v>
      </c>
      <c r="AA8" s="87">
        <v>612.1</v>
      </c>
      <c r="AB8" s="87">
        <v>3410.3</v>
      </c>
      <c r="AC8" s="87">
        <v>3351</v>
      </c>
      <c r="AD8" s="87">
        <v>3390.4</v>
      </c>
      <c r="AE8" s="87">
        <v>2537.6999999999998</v>
      </c>
      <c r="AF8" s="87">
        <v>410.5</v>
      </c>
      <c r="AG8" s="87">
        <v>358</v>
      </c>
      <c r="AH8" s="87">
        <f>465.5+187</f>
        <v>652.5</v>
      </c>
      <c r="AI8" s="87">
        <v>751.1</v>
      </c>
      <c r="AJ8" s="87">
        <v>636.4</v>
      </c>
      <c r="AK8" s="87">
        <v>2626.3</v>
      </c>
      <c r="AL8" s="87">
        <v>2763.7</v>
      </c>
      <c r="AM8" s="87">
        <v>1033</v>
      </c>
      <c r="AN8" s="138">
        <v>1532.8</v>
      </c>
      <c r="AO8" s="95">
        <v>1808.7</v>
      </c>
      <c r="AP8" s="95">
        <f>292.7+217.4</f>
        <v>510.1</v>
      </c>
      <c r="AQ8" s="95">
        <v>1047.7</v>
      </c>
      <c r="AR8" s="95">
        <v>1944.3</v>
      </c>
      <c r="AS8" s="95">
        <v>1537.6</v>
      </c>
      <c r="AT8" s="95">
        <v>1134.9000000000001</v>
      </c>
      <c r="AU8" s="95">
        <v>1171.5</v>
      </c>
      <c r="AV8" s="95">
        <v>617.4</v>
      </c>
      <c r="AW8" s="95">
        <v>3372.9</v>
      </c>
      <c r="AX8" s="95">
        <f>1596.1+191.2</f>
        <v>1787.3</v>
      </c>
      <c r="AY8" s="95">
        <v>5416.7</v>
      </c>
      <c r="AZ8" s="95">
        <v>2746.8</v>
      </c>
      <c r="BA8" s="95">
        <v>2709.6</v>
      </c>
      <c r="BB8" s="95">
        <v>6534.5</v>
      </c>
      <c r="BC8" s="95">
        <v>2436.9</v>
      </c>
      <c r="BD8" s="95">
        <v>2023</v>
      </c>
      <c r="BE8" s="95">
        <v>1465.7</v>
      </c>
      <c r="BF8" s="95">
        <v>3974.2</v>
      </c>
      <c r="BG8" s="95">
        <f>587.2+84.7</f>
        <v>671.90000000000009</v>
      </c>
      <c r="BH8" s="95">
        <v>1505.3</v>
      </c>
      <c r="BI8" s="95">
        <v>540.6</v>
      </c>
      <c r="BJ8" s="95">
        <f>247+204.1</f>
        <v>451.1</v>
      </c>
      <c r="BK8" s="95">
        <f>456.4+10.5</f>
        <v>466.9</v>
      </c>
      <c r="BL8" s="95">
        <f>319.7+139.1</f>
        <v>458.79999999999995</v>
      </c>
      <c r="BM8" s="95">
        <f>319.9+97.2</f>
        <v>417.09999999999997</v>
      </c>
      <c r="BN8" s="95">
        <f>601.3+42.5</f>
        <v>643.79999999999995</v>
      </c>
      <c r="BO8" s="95">
        <v>61.2</v>
      </c>
      <c r="BP8" s="95">
        <v>77.900000000000006</v>
      </c>
      <c r="BQ8" s="95">
        <v>103.1</v>
      </c>
      <c r="BR8" s="95">
        <v>73</v>
      </c>
      <c r="BS8" s="95">
        <v>113.8</v>
      </c>
      <c r="BT8" s="95">
        <v>124.4</v>
      </c>
      <c r="BU8" s="95">
        <v>90.8</v>
      </c>
      <c r="BV8" s="95">
        <v>55.1</v>
      </c>
      <c r="BW8" s="95">
        <v>60.2</v>
      </c>
      <c r="BX8" s="95">
        <v>78.900000000000006</v>
      </c>
      <c r="BY8" s="95">
        <v>295.8</v>
      </c>
      <c r="BZ8" s="95">
        <v>77.3</v>
      </c>
      <c r="CA8" s="95">
        <v>239.2</v>
      </c>
      <c r="CB8" s="95">
        <v>112.1</v>
      </c>
      <c r="CC8" s="95">
        <f>45+65.1</f>
        <v>110.1</v>
      </c>
      <c r="CD8" s="95">
        <v>60.4</v>
      </c>
      <c r="CE8" s="95">
        <v>107.2</v>
      </c>
      <c r="CF8" s="95">
        <v>363</v>
      </c>
      <c r="CG8" s="95">
        <v>3499.3</v>
      </c>
      <c r="CH8" s="95">
        <v>153.80000000000001</v>
      </c>
      <c r="CI8" s="95">
        <v>370</v>
      </c>
      <c r="CJ8" s="95">
        <v>124</v>
      </c>
      <c r="CK8" s="95">
        <v>48.1</v>
      </c>
      <c r="CL8" s="95">
        <v>65.099999999999994</v>
      </c>
    </row>
    <row r="9" spans="1:90">
      <c r="A9" s="42"/>
      <c r="B9" s="26" t="s">
        <v>123</v>
      </c>
      <c r="C9" s="26"/>
      <c r="D9" s="26"/>
      <c r="E9" s="26"/>
      <c r="F9" s="86">
        <f t="shared" si="0"/>
        <v>4563</v>
      </c>
      <c r="G9" s="154">
        <v>78</v>
      </c>
      <c r="H9" s="153">
        <v>144</v>
      </c>
      <c r="I9" s="156">
        <v>29</v>
      </c>
      <c r="J9" s="153">
        <v>191</v>
      </c>
      <c r="K9" s="157">
        <v>10</v>
      </c>
      <c r="L9" s="153">
        <v>17</v>
      </c>
      <c r="M9" s="157">
        <v>112</v>
      </c>
      <c r="N9" s="153">
        <v>105</v>
      </c>
      <c r="O9" s="157">
        <v>3</v>
      </c>
      <c r="P9" s="153">
        <v>43</v>
      </c>
      <c r="Q9" s="157">
        <v>31</v>
      </c>
      <c r="R9" s="158">
        <v>36</v>
      </c>
      <c r="S9" s="157">
        <v>36</v>
      </c>
      <c r="T9" s="153">
        <v>44</v>
      </c>
      <c r="U9" s="157">
        <v>19</v>
      </c>
      <c r="V9" s="153">
        <v>22</v>
      </c>
      <c r="W9" s="153">
        <v>15</v>
      </c>
      <c r="X9" s="157">
        <v>25</v>
      </c>
      <c r="Y9" s="153">
        <v>65</v>
      </c>
      <c r="Z9" s="157">
        <v>126</v>
      </c>
      <c r="AA9" s="153">
        <v>30</v>
      </c>
      <c r="AB9" s="157">
        <v>148</v>
      </c>
      <c r="AC9" s="153">
        <v>146</v>
      </c>
      <c r="AD9" s="157">
        <v>147</v>
      </c>
      <c r="AE9" s="153">
        <v>87</v>
      </c>
      <c r="AF9" s="157">
        <v>22</v>
      </c>
      <c r="AG9" s="153">
        <v>16</v>
      </c>
      <c r="AH9" s="157">
        <v>26</v>
      </c>
      <c r="AI9" s="153">
        <v>27</v>
      </c>
      <c r="AJ9" s="157">
        <v>23</v>
      </c>
      <c r="AK9" s="153">
        <v>123</v>
      </c>
      <c r="AL9" s="157">
        <v>131</v>
      </c>
      <c r="AM9" s="153">
        <v>42</v>
      </c>
      <c r="AN9" s="157">
        <v>65</v>
      </c>
      <c r="AO9" s="153">
        <v>80</v>
      </c>
      <c r="AP9" s="157">
        <v>30</v>
      </c>
      <c r="AQ9" s="153">
        <v>56</v>
      </c>
      <c r="AR9" s="157">
        <v>78</v>
      </c>
      <c r="AS9" s="153">
        <v>76</v>
      </c>
      <c r="AT9" s="157">
        <v>46</v>
      </c>
      <c r="AU9" s="153">
        <v>46</v>
      </c>
      <c r="AV9" s="157">
        <v>37</v>
      </c>
      <c r="AW9" s="153">
        <v>144</v>
      </c>
      <c r="AX9" s="157">
        <v>77</v>
      </c>
      <c r="AY9" s="153">
        <v>230</v>
      </c>
      <c r="AZ9" s="157">
        <v>116</v>
      </c>
      <c r="BA9" s="153">
        <v>106</v>
      </c>
      <c r="BB9" s="157">
        <v>321</v>
      </c>
      <c r="BC9" s="153">
        <v>115</v>
      </c>
      <c r="BD9" s="157">
        <v>82</v>
      </c>
      <c r="BE9" s="153">
        <v>64</v>
      </c>
      <c r="BF9" s="157">
        <v>184</v>
      </c>
      <c r="BG9" s="153">
        <v>38</v>
      </c>
      <c r="BH9" s="157">
        <v>76</v>
      </c>
      <c r="BI9" s="153">
        <v>17</v>
      </c>
      <c r="BJ9" s="157">
        <v>22</v>
      </c>
      <c r="BK9" s="153">
        <v>50</v>
      </c>
      <c r="BL9" s="157">
        <v>18</v>
      </c>
      <c r="BM9" s="153">
        <v>19</v>
      </c>
      <c r="BN9" s="157"/>
      <c r="BO9" s="153">
        <v>3</v>
      </c>
      <c r="BP9" s="157">
        <v>8</v>
      </c>
      <c r="BQ9" s="153">
        <v>10</v>
      </c>
      <c r="BR9" s="157">
        <v>5</v>
      </c>
      <c r="BS9" s="153">
        <v>7</v>
      </c>
      <c r="BT9" s="159">
        <v>15</v>
      </c>
      <c r="BU9" s="153">
        <v>8</v>
      </c>
      <c r="BV9" s="157">
        <v>5</v>
      </c>
      <c r="BW9" s="153">
        <v>9</v>
      </c>
      <c r="BX9" s="157">
        <v>4</v>
      </c>
      <c r="BY9" s="153">
        <v>15</v>
      </c>
      <c r="BZ9" s="157">
        <v>7</v>
      </c>
      <c r="CA9" s="157">
        <v>10</v>
      </c>
      <c r="CB9" s="153">
        <v>18</v>
      </c>
      <c r="CC9" s="157">
        <v>8</v>
      </c>
      <c r="CD9" s="153">
        <v>3</v>
      </c>
      <c r="CE9" s="157">
        <v>9</v>
      </c>
      <c r="CF9" s="153">
        <v>22</v>
      </c>
      <c r="CG9" s="157">
        <v>20</v>
      </c>
      <c r="CH9" s="153">
        <v>16</v>
      </c>
      <c r="CI9" s="157">
        <v>23</v>
      </c>
      <c r="CJ9" s="153">
        <v>14</v>
      </c>
      <c r="CK9" s="157">
        <v>4</v>
      </c>
      <c r="CL9" s="153">
        <v>8</v>
      </c>
    </row>
    <row r="10" spans="1:90">
      <c r="A10" s="56" t="s">
        <v>2</v>
      </c>
      <c r="B10" s="50" t="s">
        <v>188</v>
      </c>
      <c r="C10" s="51"/>
      <c r="D10" s="51"/>
      <c r="E10" s="12"/>
      <c r="F10" s="86">
        <f t="shared" si="0"/>
        <v>19591646.700000007</v>
      </c>
      <c r="G10" s="140">
        <v>460959.01</v>
      </c>
      <c r="H10" s="93">
        <v>636122.93000000005</v>
      </c>
      <c r="I10" s="93">
        <v>93321.22</v>
      </c>
      <c r="J10" s="88">
        <v>636122.93000000005</v>
      </c>
      <c r="K10" s="88">
        <v>63638.7</v>
      </c>
      <c r="L10" s="88">
        <v>108335.76</v>
      </c>
      <c r="M10" s="88">
        <v>497506</v>
      </c>
      <c r="N10" s="88">
        <v>508276.36</v>
      </c>
      <c r="O10" s="88">
        <v>5356.44</v>
      </c>
      <c r="P10" s="88">
        <v>128677.58</v>
      </c>
      <c r="Q10" s="88">
        <v>175090.91</v>
      </c>
      <c r="R10" s="88">
        <v>198866.95</v>
      </c>
      <c r="S10" s="88">
        <v>130420.89</v>
      </c>
      <c r="T10" s="88">
        <v>210690.52</v>
      </c>
      <c r="U10" s="88">
        <v>98087.94</v>
      </c>
      <c r="V10" s="88">
        <v>69620.52</v>
      </c>
      <c r="W10" s="88">
        <v>57656.1</v>
      </c>
      <c r="X10" s="88">
        <v>127378.69</v>
      </c>
      <c r="Y10" s="88">
        <v>251026.21</v>
      </c>
      <c r="Z10" s="88">
        <v>594467.79</v>
      </c>
      <c r="AA10" s="88">
        <v>121112.22</v>
      </c>
      <c r="AB10" s="88">
        <v>690297.49</v>
      </c>
      <c r="AC10" s="88">
        <v>677143.87</v>
      </c>
      <c r="AD10" s="88">
        <v>681174.46</v>
      </c>
      <c r="AE10" s="88">
        <v>511730.68</v>
      </c>
      <c r="AF10" s="88">
        <v>79047.360000000001</v>
      </c>
      <c r="AG10" s="88">
        <v>72602.460000000006</v>
      </c>
      <c r="AH10" s="88">
        <v>109110.5</v>
      </c>
      <c r="AI10" s="88">
        <v>152323.14000000001</v>
      </c>
      <c r="AJ10" s="88">
        <v>124762.02</v>
      </c>
      <c r="AK10" s="88">
        <v>526286.69999999995</v>
      </c>
      <c r="AL10" s="88">
        <v>560478.77</v>
      </c>
      <c r="AM10" s="88">
        <v>203665.08</v>
      </c>
      <c r="AN10" s="88">
        <v>304676.42</v>
      </c>
      <c r="AO10" s="88">
        <v>351087.61</v>
      </c>
      <c r="AP10" s="88">
        <v>80865.48</v>
      </c>
      <c r="AQ10" s="88">
        <v>209573.77</v>
      </c>
      <c r="AR10" s="88">
        <v>390781.21</v>
      </c>
      <c r="AS10" s="88">
        <v>308632.12</v>
      </c>
      <c r="AT10" s="88">
        <v>225778.8</v>
      </c>
      <c r="AU10" s="88">
        <v>237580.44</v>
      </c>
      <c r="AV10" s="88">
        <v>125208.9</v>
      </c>
      <c r="AW10" s="88">
        <v>679366.18</v>
      </c>
      <c r="AX10" s="88">
        <v>342909.3</v>
      </c>
      <c r="AY10" s="88">
        <v>1093856.79</v>
      </c>
      <c r="AZ10" s="88">
        <v>560651.38</v>
      </c>
      <c r="BA10" s="88">
        <v>536342.57999999996</v>
      </c>
      <c r="BB10" s="88">
        <v>1322510.6100000001</v>
      </c>
      <c r="BC10" s="88">
        <v>494203.87</v>
      </c>
      <c r="BD10" s="88">
        <v>387970.53</v>
      </c>
      <c r="BE10" s="88">
        <v>297240.69</v>
      </c>
      <c r="BF10" s="88">
        <v>805958.32</v>
      </c>
      <c r="BG10" s="88">
        <v>120669.28</v>
      </c>
      <c r="BH10" s="88">
        <v>303776.82</v>
      </c>
      <c r="BI10" s="88">
        <v>109633.67</v>
      </c>
      <c r="BJ10" s="88">
        <v>72504.55</v>
      </c>
      <c r="BK10" s="88">
        <v>87916.75</v>
      </c>
      <c r="BL10" s="88">
        <v>79377.119999999995</v>
      </c>
      <c r="BM10" s="88">
        <v>80822.45</v>
      </c>
      <c r="BN10" s="88">
        <v>77908.38</v>
      </c>
      <c r="BO10" s="88">
        <v>2048.88</v>
      </c>
      <c r="BP10" s="88">
        <v>2608.08</v>
      </c>
      <c r="BQ10" s="88">
        <v>18805.41</v>
      </c>
      <c r="BR10" s="88">
        <v>2444.0500000000002</v>
      </c>
      <c r="BS10" s="88">
        <v>6472.92</v>
      </c>
      <c r="BT10" s="88">
        <v>7075.92</v>
      </c>
      <c r="BU10" s="88">
        <v>5535.12</v>
      </c>
      <c r="BV10" s="88">
        <v>1844.76</v>
      </c>
      <c r="BW10" s="88">
        <v>2015.4</v>
      </c>
      <c r="BX10" s="88">
        <v>2641.56</v>
      </c>
      <c r="BY10" s="88">
        <v>48487.56</v>
      </c>
      <c r="BZ10" s="88">
        <v>4396.8</v>
      </c>
      <c r="CA10" s="88">
        <v>8008.56</v>
      </c>
      <c r="CB10" s="88">
        <v>4250.76</v>
      </c>
      <c r="CC10" s="88">
        <v>10209.58</v>
      </c>
      <c r="CD10" s="88">
        <v>3681.96</v>
      </c>
      <c r="CE10" s="88">
        <v>4065</v>
      </c>
      <c r="CF10" s="88">
        <v>55777.16</v>
      </c>
      <c r="CG10" s="88">
        <v>57257.34</v>
      </c>
      <c r="CH10" s="88">
        <v>5149.08</v>
      </c>
      <c r="CI10" s="88">
        <v>64768.14</v>
      </c>
      <c r="CJ10" s="88">
        <v>22617.599999999999</v>
      </c>
      <c r="CK10" s="88">
        <v>987</v>
      </c>
      <c r="CL10" s="88">
        <v>1335.84</v>
      </c>
    </row>
    <row r="11" spans="1:90">
      <c r="A11" s="85"/>
      <c r="B11" s="52" t="s">
        <v>189</v>
      </c>
      <c r="C11" s="45"/>
      <c r="D11" s="45"/>
      <c r="E11" s="13"/>
      <c r="F11" s="86">
        <f t="shared" si="0"/>
        <v>2987726.1217500009</v>
      </c>
      <c r="G11" s="141">
        <f>G10*0.1525</f>
        <v>70296.249024999997</v>
      </c>
      <c r="H11" s="141">
        <f>H10*0.1525</f>
        <v>97008.746825000009</v>
      </c>
      <c r="I11" s="89">
        <f t="shared" ref="I11:AT11" si="1">I10*0.1525</f>
        <v>14231.48605</v>
      </c>
      <c r="J11" s="89">
        <f t="shared" si="1"/>
        <v>97008.746825000009</v>
      </c>
      <c r="K11" s="89">
        <f t="shared" si="1"/>
        <v>9704.9017499999991</v>
      </c>
      <c r="L11" s="89">
        <f t="shared" si="1"/>
        <v>16521.203399999999</v>
      </c>
      <c r="M11" s="89">
        <f t="shared" si="1"/>
        <v>75869.664999999994</v>
      </c>
      <c r="N11" s="89">
        <f t="shared" si="1"/>
        <v>77512.144899999999</v>
      </c>
      <c r="O11" s="89">
        <f t="shared" si="1"/>
        <v>816.85709999999995</v>
      </c>
      <c r="P11" s="89">
        <f t="shared" si="1"/>
        <v>19623.33095</v>
      </c>
      <c r="Q11" s="89">
        <f t="shared" si="1"/>
        <v>26701.363775000002</v>
      </c>
      <c r="R11" s="89">
        <f t="shared" si="1"/>
        <v>30327.209875</v>
      </c>
      <c r="S11" s="89">
        <f t="shared" si="1"/>
        <v>19889.185724999999</v>
      </c>
      <c r="T11" s="89">
        <f t="shared" si="1"/>
        <v>32130.304299999996</v>
      </c>
      <c r="U11" s="89">
        <f t="shared" si="1"/>
        <v>14958.41085</v>
      </c>
      <c r="V11" s="89">
        <f t="shared" si="1"/>
        <v>10617.129300000001</v>
      </c>
      <c r="W11" s="89">
        <f t="shared" si="1"/>
        <v>8792.5552499999994</v>
      </c>
      <c r="X11" s="89">
        <f t="shared" si="1"/>
        <v>19425.250225</v>
      </c>
      <c r="Y11" s="89">
        <f t="shared" si="1"/>
        <v>38281.497024999997</v>
      </c>
      <c r="Z11" s="89">
        <f t="shared" si="1"/>
        <v>90656.337975000002</v>
      </c>
      <c r="AA11" s="89">
        <f t="shared" si="1"/>
        <v>18469.613549999998</v>
      </c>
      <c r="AB11" s="89">
        <f t="shared" si="1"/>
        <v>105270.36722499999</v>
      </c>
      <c r="AC11" s="89">
        <f t="shared" si="1"/>
        <v>103264.440175</v>
      </c>
      <c r="AD11" s="89">
        <f t="shared" si="1"/>
        <v>103879.10514999999</v>
      </c>
      <c r="AE11" s="89">
        <f t="shared" si="1"/>
        <v>78038.928700000004</v>
      </c>
      <c r="AF11" s="89">
        <f t="shared" si="1"/>
        <v>12054.722400000001</v>
      </c>
      <c r="AG11" s="89">
        <f t="shared" si="1"/>
        <v>11071.87515</v>
      </c>
      <c r="AH11" s="89">
        <f t="shared" si="1"/>
        <v>16639.35125</v>
      </c>
      <c r="AI11" s="89">
        <f t="shared" si="1"/>
        <v>23229.278850000002</v>
      </c>
      <c r="AJ11" s="89">
        <f t="shared" si="1"/>
        <v>19026.208050000001</v>
      </c>
      <c r="AK11" s="89">
        <f t="shared" si="1"/>
        <v>80258.721749999997</v>
      </c>
      <c r="AL11" s="89">
        <f t="shared" si="1"/>
        <v>85473.012425000008</v>
      </c>
      <c r="AM11" s="89">
        <f t="shared" si="1"/>
        <v>31058.924699999996</v>
      </c>
      <c r="AN11" s="89">
        <f t="shared" si="1"/>
        <v>46463.154049999997</v>
      </c>
      <c r="AO11" s="89">
        <f t="shared" si="1"/>
        <v>53540.860524999996</v>
      </c>
      <c r="AP11" s="89">
        <f t="shared" si="1"/>
        <v>12331.985699999999</v>
      </c>
      <c r="AQ11" s="89">
        <f t="shared" si="1"/>
        <v>31959.999924999996</v>
      </c>
      <c r="AR11" s="89">
        <f t="shared" si="1"/>
        <v>59594.134525000001</v>
      </c>
      <c r="AS11" s="89">
        <f t="shared" si="1"/>
        <v>47066.398300000001</v>
      </c>
      <c r="AT11" s="89">
        <f t="shared" si="1"/>
        <v>34431.267</v>
      </c>
      <c r="AU11" s="89">
        <f t="shared" ref="AU11" si="2">AU10*0.1525</f>
        <v>36231.017099999997</v>
      </c>
      <c r="AV11" s="89">
        <f t="shared" ref="AV11:BN11" si="3">AV10*0.1525</f>
        <v>19094.357249999997</v>
      </c>
      <c r="AW11" s="89">
        <f t="shared" si="3"/>
        <v>103603.34245000001</v>
      </c>
      <c r="AX11" s="89">
        <f t="shared" si="3"/>
        <v>52293.668249999995</v>
      </c>
      <c r="AY11" s="89">
        <f t="shared" si="3"/>
        <v>166813.16047500001</v>
      </c>
      <c r="AZ11" s="89">
        <f t="shared" si="3"/>
        <v>85499.335449999999</v>
      </c>
      <c r="BA11" s="89">
        <f t="shared" si="3"/>
        <v>81792.243449999994</v>
      </c>
      <c r="BB11" s="89">
        <f t="shared" si="3"/>
        <v>201682.868025</v>
      </c>
      <c r="BC11" s="89">
        <f t="shared" si="3"/>
        <v>75366.090175000005</v>
      </c>
      <c r="BD11" s="89">
        <f t="shared" si="3"/>
        <v>59165.505825</v>
      </c>
      <c r="BE11" s="89">
        <f t="shared" si="3"/>
        <v>45329.205224999998</v>
      </c>
      <c r="BF11" s="89">
        <f t="shared" si="3"/>
        <v>122908.64379999999</v>
      </c>
      <c r="BG11" s="89">
        <f t="shared" si="3"/>
        <v>18402.065200000001</v>
      </c>
      <c r="BH11" s="89">
        <f t="shared" si="3"/>
        <v>46325.965049999999</v>
      </c>
      <c r="BI11" s="89">
        <f t="shared" si="3"/>
        <v>16719.134675000001</v>
      </c>
      <c r="BJ11" s="89">
        <f t="shared" si="3"/>
        <v>11056.943875000001</v>
      </c>
      <c r="BK11" s="89">
        <f t="shared" si="3"/>
        <v>13407.304375</v>
      </c>
      <c r="BL11" s="89">
        <f t="shared" si="3"/>
        <v>12105.010799999998</v>
      </c>
      <c r="BM11" s="89">
        <f t="shared" si="3"/>
        <v>12325.423624999999</v>
      </c>
      <c r="BN11" s="89">
        <f t="shared" si="3"/>
        <v>11881.02795</v>
      </c>
      <c r="BO11" s="89">
        <f t="shared" ref="BO11:CL11" si="4">BO10*0.1525</f>
        <v>312.45420000000001</v>
      </c>
      <c r="BP11" s="89">
        <f t="shared" si="4"/>
        <v>397.73219999999998</v>
      </c>
      <c r="BQ11" s="89">
        <f t="shared" si="4"/>
        <v>2867.8250250000001</v>
      </c>
      <c r="BR11" s="89">
        <f t="shared" si="4"/>
        <v>372.717625</v>
      </c>
      <c r="BS11" s="89">
        <f t="shared" si="4"/>
        <v>987.12030000000004</v>
      </c>
      <c r="BT11" s="89">
        <f t="shared" si="4"/>
        <v>1079.0778</v>
      </c>
      <c r="BU11" s="89">
        <f t="shared" si="4"/>
        <v>844.10579999999993</v>
      </c>
      <c r="BV11" s="89">
        <f t="shared" si="4"/>
        <v>281.32589999999999</v>
      </c>
      <c r="BW11" s="89">
        <f t="shared" si="4"/>
        <v>307.3485</v>
      </c>
      <c r="BX11" s="89">
        <f t="shared" si="4"/>
        <v>402.83789999999999</v>
      </c>
      <c r="BY11" s="89">
        <f t="shared" si="4"/>
        <v>7394.3528999999999</v>
      </c>
      <c r="BZ11" s="89">
        <f t="shared" si="4"/>
        <v>670.51200000000006</v>
      </c>
      <c r="CA11" s="89">
        <f t="shared" si="4"/>
        <v>1221.3054</v>
      </c>
      <c r="CB11" s="89">
        <f t="shared" si="4"/>
        <v>648.24090000000001</v>
      </c>
      <c r="CC11" s="89">
        <f t="shared" si="4"/>
        <v>1556.9609499999999</v>
      </c>
      <c r="CD11" s="89">
        <f t="shared" si="4"/>
        <v>561.49890000000005</v>
      </c>
      <c r="CE11" s="89">
        <f t="shared" si="4"/>
        <v>619.91250000000002</v>
      </c>
      <c r="CF11" s="89">
        <f t="shared" si="4"/>
        <v>8506.0169000000005</v>
      </c>
      <c r="CG11" s="89">
        <f t="shared" si="4"/>
        <v>8731.744349999999</v>
      </c>
      <c r="CH11" s="89">
        <f t="shared" si="4"/>
        <v>785.23469999999998</v>
      </c>
      <c r="CI11" s="89">
        <f t="shared" si="4"/>
        <v>9877.1413499999999</v>
      </c>
      <c r="CJ11" s="89">
        <f t="shared" si="4"/>
        <v>3449.1839999999997</v>
      </c>
      <c r="CK11" s="89">
        <f t="shared" si="4"/>
        <v>150.51749999999998</v>
      </c>
      <c r="CL11" s="89">
        <f t="shared" si="4"/>
        <v>203.71559999999999</v>
      </c>
    </row>
    <row r="12" spans="1:90">
      <c r="A12" s="43" t="s">
        <v>3</v>
      </c>
      <c r="B12" s="4" t="s">
        <v>187</v>
      </c>
      <c r="C12" s="5"/>
      <c r="D12" s="5"/>
      <c r="E12" s="13"/>
      <c r="F12" s="86">
        <f t="shared" si="0"/>
        <v>19591646.700000007</v>
      </c>
      <c r="G12" s="142">
        <v>460959.01</v>
      </c>
      <c r="H12" s="90">
        <v>636122.93000000005</v>
      </c>
      <c r="I12" s="90">
        <f>I10</f>
        <v>93321.22</v>
      </c>
      <c r="J12" s="90">
        <v>636122.93000000005</v>
      </c>
      <c r="K12" s="90">
        <v>63638.7</v>
      </c>
      <c r="L12" s="90">
        <v>108335.76</v>
      </c>
      <c r="M12" s="90">
        <v>497506</v>
      </c>
      <c r="N12" s="90">
        <v>508276.36</v>
      </c>
      <c r="O12" s="90">
        <f>O10</f>
        <v>5356.44</v>
      </c>
      <c r="P12" s="90">
        <f>P10</f>
        <v>128677.58</v>
      </c>
      <c r="Q12" s="90">
        <f>Q10</f>
        <v>175090.91</v>
      </c>
      <c r="R12" s="90">
        <f>R10</f>
        <v>198866.95</v>
      </c>
      <c r="S12" s="90">
        <f>S10</f>
        <v>130420.89</v>
      </c>
      <c r="T12" s="90">
        <f t="shared" ref="T12:AJ12" si="5">T10</f>
        <v>210690.52</v>
      </c>
      <c r="U12" s="90">
        <f t="shared" si="5"/>
        <v>98087.94</v>
      </c>
      <c r="V12" s="90">
        <f t="shared" si="5"/>
        <v>69620.52</v>
      </c>
      <c r="W12" s="90">
        <f t="shared" si="5"/>
        <v>57656.1</v>
      </c>
      <c r="X12" s="90">
        <f t="shared" si="5"/>
        <v>127378.69</v>
      </c>
      <c r="Y12" s="90">
        <f>Y10</f>
        <v>251026.21</v>
      </c>
      <c r="Z12" s="90">
        <f t="shared" si="5"/>
        <v>594467.79</v>
      </c>
      <c r="AA12" s="90">
        <f t="shared" si="5"/>
        <v>121112.22</v>
      </c>
      <c r="AB12" s="90">
        <f t="shared" si="5"/>
        <v>690297.49</v>
      </c>
      <c r="AC12" s="90">
        <f t="shared" si="5"/>
        <v>677143.87</v>
      </c>
      <c r="AD12" s="90">
        <f t="shared" si="5"/>
        <v>681174.46</v>
      </c>
      <c r="AE12" s="90">
        <f t="shared" si="5"/>
        <v>511730.68</v>
      </c>
      <c r="AF12" s="90">
        <f t="shared" si="5"/>
        <v>79047.360000000001</v>
      </c>
      <c r="AG12" s="90">
        <f t="shared" si="5"/>
        <v>72602.460000000006</v>
      </c>
      <c r="AH12" s="90">
        <f t="shared" si="5"/>
        <v>109110.5</v>
      </c>
      <c r="AI12" s="90">
        <f t="shared" si="5"/>
        <v>152323.14000000001</v>
      </c>
      <c r="AJ12" s="90">
        <f t="shared" si="5"/>
        <v>124762.02</v>
      </c>
      <c r="AK12" s="90">
        <v>526286.69999999995</v>
      </c>
      <c r="AL12" s="90">
        <v>560478.77</v>
      </c>
      <c r="AM12" s="90">
        <f>AM10</f>
        <v>203665.08</v>
      </c>
      <c r="AN12" s="90">
        <f t="shared" ref="AN12:AQ12" si="6">AN10</f>
        <v>304676.42</v>
      </c>
      <c r="AO12" s="90">
        <f t="shared" si="6"/>
        <v>351087.61</v>
      </c>
      <c r="AP12" s="90">
        <f t="shared" si="6"/>
        <v>80865.48</v>
      </c>
      <c r="AQ12" s="90">
        <f t="shared" si="6"/>
        <v>209573.77</v>
      </c>
      <c r="AR12" s="90">
        <v>390781.21</v>
      </c>
      <c r="AS12" s="90">
        <v>308632.12</v>
      </c>
      <c r="AT12" s="90">
        <f>AT10</f>
        <v>225778.8</v>
      </c>
      <c r="AU12" s="90">
        <f>AU10</f>
        <v>237580.44</v>
      </c>
      <c r="AV12" s="90">
        <f>AV10</f>
        <v>125208.9</v>
      </c>
      <c r="AW12" s="90">
        <f>AW10</f>
        <v>679366.18</v>
      </c>
      <c r="AX12" s="90">
        <f t="shared" ref="AX12:BN12" si="7">AX10</f>
        <v>342909.3</v>
      </c>
      <c r="AY12" s="90">
        <f t="shared" si="7"/>
        <v>1093856.79</v>
      </c>
      <c r="AZ12" s="90">
        <f t="shared" si="7"/>
        <v>560651.38</v>
      </c>
      <c r="BA12" s="90">
        <f t="shared" si="7"/>
        <v>536342.57999999996</v>
      </c>
      <c r="BB12" s="90">
        <f t="shared" si="7"/>
        <v>1322510.6100000001</v>
      </c>
      <c r="BC12" s="90">
        <f t="shared" si="7"/>
        <v>494203.87</v>
      </c>
      <c r="BD12" s="90">
        <f t="shared" si="7"/>
        <v>387970.53</v>
      </c>
      <c r="BE12" s="90">
        <f t="shared" si="7"/>
        <v>297240.69</v>
      </c>
      <c r="BF12" s="90">
        <f t="shared" si="7"/>
        <v>805958.32</v>
      </c>
      <c r="BG12" s="90">
        <f t="shared" si="7"/>
        <v>120669.28</v>
      </c>
      <c r="BH12" s="90">
        <f t="shared" si="7"/>
        <v>303776.82</v>
      </c>
      <c r="BI12" s="90">
        <f t="shared" si="7"/>
        <v>109633.67</v>
      </c>
      <c r="BJ12" s="90">
        <f t="shared" si="7"/>
        <v>72504.55</v>
      </c>
      <c r="BK12" s="90">
        <f t="shared" si="7"/>
        <v>87916.75</v>
      </c>
      <c r="BL12" s="90">
        <f t="shared" si="7"/>
        <v>79377.119999999995</v>
      </c>
      <c r="BM12" s="90">
        <f t="shared" si="7"/>
        <v>80822.45</v>
      </c>
      <c r="BN12" s="90">
        <f t="shared" si="7"/>
        <v>77908.38</v>
      </c>
      <c r="BO12" s="90">
        <f>BO10</f>
        <v>2048.88</v>
      </c>
      <c r="BP12" s="90">
        <f t="shared" ref="BP12:CH12" si="8">BP10</f>
        <v>2608.08</v>
      </c>
      <c r="BQ12" s="90">
        <f t="shared" si="8"/>
        <v>18805.41</v>
      </c>
      <c r="BR12" s="90">
        <f t="shared" si="8"/>
        <v>2444.0500000000002</v>
      </c>
      <c r="BS12" s="90">
        <f t="shared" si="8"/>
        <v>6472.92</v>
      </c>
      <c r="BT12" s="90">
        <f t="shared" si="8"/>
        <v>7075.92</v>
      </c>
      <c r="BU12" s="90">
        <f t="shared" si="8"/>
        <v>5535.12</v>
      </c>
      <c r="BV12" s="90">
        <f t="shared" si="8"/>
        <v>1844.76</v>
      </c>
      <c r="BW12" s="90">
        <f t="shared" si="8"/>
        <v>2015.4</v>
      </c>
      <c r="BX12" s="90">
        <f t="shared" si="8"/>
        <v>2641.56</v>
      </c>
      <c r="BY12" s="90">
        <f t="shared" si="8"/>
        <v>48487.56</v>
      </c>
      <c r="BZ12" s="90">
        <f t="shared" si="8"/>
        <v>4396.8</v>
      </c>
      <c r="CA12" s="90">
        <f t="shared" si="8"/>
        <v>8008.56</v>
      </c>
      <c r="CB12" s="90">
        <f t="shared" si="8"/>
        <v>4250.76</v>
      </c>
      <c r="CC12" s="90">
        <f t="shared" si="8"/>
        <v>10209.58</v>
      </c>
      <c r="CD12" s="90">
        <f t="shared" si="8"/>
        <v>3681.96</v>
      </c>
      <c r="CE12" s="90">
        <f t="shared" si="8"/>
        <v>4065</v>
      </c>
      <c r="CF12" s="90">
        <f t="shared" si="8"/>
        <v>55777.16</v>
      </c>
      <c r="CG12" s="90">
        <f t="shared" si="8"/>
        <v>57257.34</v>
      </c>
      <c r="CH12" s="90">
        <f t="shared" si="8"/>
        <v>5149.08</v>
      </c>
      <c r="CI12" s="90">
        <v>64768.14</v>
      </c>
      <c r="CJ12" s="90">
        <f>CJ10</f>
        <v>22617.599999999999</v>
      </c>
      <c r="CK12" s="90">
        <f t="shared" ref="CK12:CL12" si="9">CK10</f>
        <v>987</v>
      </c>
      <c r="CL12" s="90">
        <f t="shared" si="9"/>
        <v>1335.84</v>
      </c>
    </row>
    <row r="13" spans="1:90" ht="12.75" customHeight="1">
      <c r="A13" s="58" t="s">
        <v>125</v>
      </c>
      <c r="B13" s="53" t="s">
        <v>126</v>
      </c>
      <c r="C13" s="54"/>
      <c r="D13" s="54"/>
      <c r="E13" s="59"/>
      <c r="F13" s="86">
        <f t="shared" si="0"/>
        <v>18104379.690000009</v>
      </c>
      <c r="G13" s="143">
        <v>373493.01</v>
      </c>
      <c r="H13" s="91">
        <v>566017</v>
      </c>
      <c r="I13" s="91">
        <v>65929.899999999994</v>
      </c>
      <c r="J13" s="91">
        <v>822002.22</v>
      </c>
      <c r="K13" s="91">
        <v>79769.17</v>
      </c>
      <c r="L13" s="91">
        <v>83037.52</v>
      </c>
      <c r="M13" s="91">
        <v>485516.34</v>
      </c>
      <c r="N13" s="91">
        <v>431123.97</v>
      </c>
      <c r="O13" s="91">
        <v>5302.19</v>
      </c>
      <c r="P13" s="91">
        <v>100771.43</v>
      </c>
      <c r="Q13" s="91">
        <v>154594.04999999999</v>
      </c>
      <c r="R13" s="91">
        <v>134535.66</v>
      </c>
      <c r="S13" s="91">
        <v>107545.67</v>
      </c>
      <c r="T13" s="91">
        <v>183277.79</v>
      </c>
      <c r="U13" s="91">
        <v>97208.68</v>
      </c>
      <c r="V13" s="91">
        <v>64930.39</v>
      </c>
      <c r="W13" s="91">
        <v>39410.22</v>
      </c>
      <c r="X13" s="91">
        <v>131135.42000000001</v>
      </c>
      <c r="Y13" s="91">
        <v>206486.76</v>
      </c>
      <c r="Z13" s="91">
        <v>535917.9</v>
      </c>
      <c r="AA13" s="94">
        <v>111216.31</v>
      </c>
      <c r="AB13" s="91">
        <v>606427.06999999995</v>
      </c>
      <c r="AC13" s="91">
        <v>613613.63</v>
      </c>
      <c r="AD13" s="91">
        <v>638785.19999999995</v>
      </c>
      <c r="AE13" s="91">
        <v>458337.07</v>
      </c>
      <c r="AF13" s="91">
        <v>77484.850000000006</v>
      </c>
      <c r="AG13" s="91">
        <v>76314.649999999994</v>
      </c>
      <c r="AH13" s="91">
        <v>96850.97</v>
      </c>
      <c r="AI13" s="91">
        <v>144500.98000000001</v>
      </c>
      <c r="AJ13" s="91">
        <v>112933.55</v>
      </c>
      <c r="AK13" s="91">
        <v>469059.15</v>
      </c>
      <c r="AL13" s="91">
        <v>543184.11</v>
      </c>
      <c r="AM13" s="91">
        <v>190524.2</v>
      </c>
      <c r="AN13" s="91">
        <v>268346.90999999997</v>
      </c>
      <c r="AO13" s="91">
        <v>316978.39</v>
      </c>
      <c r="AP13" s="91">
        <v>72033.5</v>
      </c>
      <c r="AQ13" s="91">
        <v>192952.21</v>
      </c>
      <c r="AR13" s="91">
        <v>343375.47</v>
      </c>
      <c r="AS13" s="91">
        <v>292378.90999999997</v>
      </c>
      <c r="AT13" s="91">
        <v>205237.23</v>
      </c>
      <c r="AU13" s="91">
        <v>215302.95</v>
      </c>
      <c r="AV13" s="91">
        <v>127289.60000000001</v>
      </c>
      <c r="AW13" s="91">
        <v>612116.32999999996</v>
      </c>
      <c r="AX13" s="91">
        <v>329226.86</v>
      </c>
      <c r="AY13" s="91">
        <v>1058134.6499999999</v>
      </c>
      <c r="AZ13" s="91">
        <v>526386.97</v>
      </c>
      <c r="BA13" s="91">
        <v>522539.02</v>
      </c>
      <c r="BB13" s="91">
        <v>1272615.8999999999</v>
      </c>
      <c r="BC13" s="91">
        <v>446683.73</v>
      </c>
      <c r="BD13" s="91">
        <v>357884.4</v>
      </c>
      <c r="BE13" s="91">
        <v>276734.17</v>
      </c>
      <c r="BF13" s="91">
        <v>764357.59</v>
      </c>
      <c r="BG13" s="91">
        <v>110234.69</v>
      </c>
      <c r="BH13" s="91">
        <v>266118.05</v>
      </c>
      <c r="BI13" s="91">
        <v>70222.570000000007</v>
      </c>
      <c r="BJ13" s="91">
        <v>59603.54</v>
      </c>
      <c r="BK13" s="91">
        <v>83408.52</v>
      </c>
      <c r="BL13" s="91">
        <v>64685.02</v>
      </c>
      <c r="BM13" s="91">
        <v>76549.13</v>
      </c>
      <c r="BN13" s="91">
        <v>77560.25</v>
      </c>
      <c r="BO13" s="91">
        <v>1146.03</v>
      </c>
      <c r="BP13" s="91">
        <v>2517.1999999999998</v>
      </c>
      <c r="BQ13" s="91">
        <v>17671.03</v>
      </c>
      <c r="BR13" s="98">
        <v>1616.73</v>
      </c>
      <c r="BS13" s="91">
        <v>3051.73</v>
      </c>
      <c r="BT13" s="91">
        <v>6255.53</v>
      </c>
      <c r="BU13" s="91">
        <v>2895.88</v>
      </c>
      <c r="BV13" s="91">
        <v>1628.91</v>
      </c>
      <c r="BW13" s="91">
        <v>2149.14</v>
      </c>
      <c r="BX13" s="91">
        <v>1256.58</v>
      </c>
      <c r="BY13" s="91">
        <v>49979.7</v>
      </c>
      <c r="BZ13" s="91">
        <v>3172.1</v>
      </c>
      <c r="CA13" s="91">
        <v>2956.54</v>
      </c>
      <c r="CB13" s="91">
        <v>1061.3499999999999</v>
      </c>
      <c r="CC13" s="96">
        <v>10183.42</v>
      </c>
      <c r="CD13" s="91">
        <v>3694.08</v>
      </c>
      <c r="CE13" s="91">
        <v>2044.1</v>
      </c>
      <c r="CF13" s="91">
        <v>48288.51</v>
      </c>
      <c r="CG13" s="91">
        <v>49634.64</v>
      </c>
      <c r="CH13" s="91">
        <v>3855.99</v>
      </c>
      <c r="CI13" s="91">
        <v>54466.54</v>
      </c>
      <c r="CJ13" s="98">
        <v>18660.37</v>
      </c>
      <c r="CK13" s="91">
        <v>0</v>
      </c>
      <c r="CL13" s="91">
        <v>0</v>
      </c>
    </row>
    <row r="14" spans="1:90">
      <c r="A14" s="58" t="s">
        <v>127</v>
      </c>
      <c r="B14" s="53" t="s">
        <v>255</v>
      </c>
      <c r="C14" s="54"/>
      <c r="D14" s="54"/>
      <c r="E14" s="55"/>
      <c r="F14" s="155">
        <f t="shared" si="0"/>
        <v>1746181.7600000005</v>
      </c>
      <c r="G14" s="143">
        <f>G10-G13</f>
        <v>87466</v>
      </c>
      <c r="H14" s="91">
        <v>70105.929999999993</v>
      </c>
      <c r="I14" s="91">
        <v>27391.32</v>
      </c>
      <c r="J14" s="91">
        <v>73035.73</v>
      </c>
      <c r="K14" s="91">
        <v>-16130.74</v>
      </c>
      <c r="L14" s="91">
        <f>L10-L13</f>
        <v>25298.239999999991</v>
      </c>
      <c r="M14" s="91">
        <v>11989.66</v>
      </c>
      <c r="N14" s="91">
        <v>77152.39</v>
      </c>
      <c r="O14" s="91">
        <f>O10-O13</f>
        <v>54.25</v>
      </c>
      <c r="P14" s="91">
        <f>P10-P13</f>
        <v>27906.150000000009</v>
      </c>
      <c r="Q14" s="91">
        <f>Q10-Q13</f>
        <v>20496.860000000015</v>
      </c>
      <c r="R14" s="91">
        <f>R10-R13</f>
        <v>64331.290000000008</v>
      </c>
      <c r="S14" s="91">
        <f>S10-S13</f>
        <v>22875.22</v>
      </c>
      <c r="T14" s="91">
        <f t="shared" ref="T14:V14" si="10">T10-T13</f>
        <v>27412.729999999981</v>
      </c>
      <c r="U14" s="91">
        <f t="shared" si="10"/>
        <v>879.26000000000931</v>
      </c>
      <c r="V14" s="91">
        <f t="shared" si="10"/>
        <v>4690.1300000000047</v>
      </c>
      <c r="W14" s="91">
        <f t="shared" ref="W14" si="11">W10-W13</f>
        <v>18245.879999999997</v>
      </c>
      <c r="X14" s="91">
        <f t="shared" ref="X14" si="12">X10-X13</f>
        <v>-3756.7300000000105</v>
      </c>
      <c r="Y14" s="91">
        <f>Y10-Y13</f>
        <v>44539.449999999983</v>
      </c>
      <c r="Z14" s="91">
        <f>Z10-Z13</f>
        <v>58549.890000000014</v>
      </c>
      <c r="AA14" s="91">
        <f t="shared" ref="AA14" si="13">AA10-AA13</f>
        <v>9895.9100000000035</v>
      </c>
      <c r="AB14" s="91">
        <f t="shared" ref="AB14" si="14">AB10-AB13</f>
        <v>83870.420000000042</v>
      </c>
      <c r="AC14" s="91">
        <f t="shared" ref="AC14" si="15">AC10-AC13</f>
        <v>63530.239999999991</v>
      </c>
      <c r="AD14" s="91">
        <f t="shared" ref="AD14:AE14" si="16">AD10-AD13</f>
        <v>42389.260000000009</v>
      </c>
      <c r="AE14" s="91">
        <f t="shared" si="16"/>
        <v>53393.609999999986</v>
      </c>
      <c r="AF14" s="91">
        <f t="shared" ref="AF14" si="17">AF10-AF13</f>
        <v>1562.5099999999948</v>
      </c>
      <c r="AG14" s="91">
        <f t="shared" ref="AG14" si="18">AG10-AG13</f>
        <v>-3712.1899999999878</v>
      </c>
      <c r="AH14" s="91">
        <f t="shared" ref="AH14" si="19">AH10-AH13</f>
        <v>12259.529999999999</v>
      </c>
      <c r="AI14" s="91">
        <f t="shared" ref="AI14:AJ14" si="20">AI10-AI13</f>
        <v>7822.1600000000035</v>
      </c>
      <c r="AJ14" s="91">
        <f t="shared" si="20"/>
        <v>11828.470000000001</v>
      </c>
      <c r="AK14" s="91">
        <v>57227.55</v>
      </c>
      <c r="AL14" s="91">
        <v>17294.66</v>
      </c>
      <c r="AM14" s="91">
        <f>AM10-AM13</f>
        <v>13140.879999999976</v>
      </c>
      <c r="AN14" s="164">
        <f>AN10-AN13</f>
        <v>36329.510000000009</v>
      </c>
      <c r="AO14" s="91">
        <f t="shared" ref="AO14:AQ14" si="21">AO10-AO13</f>
        <v>34109.219999999972</v>
      </c>
      <c r="AP14" s="91">
        <f t="shared" si="21"/>
        <v>8831.9799999999959</v>
      </c>
      <c r="AQ14" s="91">
        <f t="shared" si="21"/>
        <v>16621.559999999998</v>
      </c>
      <c r="AR14" s="91">
        <v>47405.74</v>
      </c>
      <c r="AS14" s="91">
        <v>16253.21</v>
      </c>
      <c r="AT14" s="91">
        <f>AT10-AT13</f>
        <v>20541.569999999978</v>
      </c>
      <c r="AU14" s="91">
        <f>AU10-AU13</f>
        <v>22277.489999999991</v>
      </c>
      <c r="AV14" s="91">
        <f>AV10-AV13</f>
        <v>-2080.7000000000116</v>
      </c>
      <c r="AW14" s="91">
        <f>AW10-AW13</f>
        <v>67249.850000000093</v>
      </c>
      <c r="AX14" s="91">
        <f t="shared" ref="AX14:BN14" si="22">AX10-AX13</f>
        <v>13682.440000000002</v>
      </c>
      <c r="AY14" s="91">
        <f t="shared" si="22"/>
        <v>35722.14000000013</v>
      </c>
      <c r="AZ14" s="91">
        <f t="shared" si="22"/>
        <v>34264.410000000033</v>
      </c>
      <c r="BA14" s="91">
        <f t="shared" si="22"/>
        <v>13803.559999999939</v>
      </c>
      <c r="BB14" s="91">
        <f t="shared" si="22"/>
        <v>49894.710000000196</v>
      </c>
      <c r="BC14" s="91">
        <f t="shared" si="22"/>
        <v>47520.140000000014</v>
      </c>
      <c r="BD14" s="91">
        <f t="shared" si="22"/>
        <v>30086.130000000005</v>
      </c>
      <c r="BE14" s="91">
        <f t="shared" si="22"/>
        <v>20506.520000000019</v>
      </c>
      <c r="BF14" s="91">
        <f t="shared" si="22"/>
        <v>41600.729999999981</v>
      </c>
      <c r="BG14" s="91">
        <f t="shared" si="22"/>
        <v>10434.589999999997</v>
      </c>
      <c r="BH14" s="91">
        <f t="shared" si="22"/>
        <v>37658.770000000019</v>
      </c>
      <c r="BI14" s="91">
        <f t="shared" si="22"/>
        <v>39411.099999999991</v>
      </c>
      <c r="BJ14" s="91">
        <f t="shared" si="22"/>
        <v>12901.010000000002</v>
      </c>
      <c r="BK14" s="91">
        <f t="shared" si="22"/>
        <v>4508.2299999999959</v>
      </c>
      <c r="BL14" s="91">
        <f t="shared" si="22"/>
        <v>14692.099999999999</v>
      </c>
      <c r="BM14" s="91">
        <f t="shared" si="22"/>
        <v>4273.3199999999924</v>
      </c>
      <c r="BN14" s="91">
        <f t="shared" si="22"/>
        <v>348.13000000000466</v>
      </c>
      <c r="BO14" s="91">
        <f>BO10-BO13</f>
        <v>902.85000000000014</v>
      </c>
      <c r="BP14" s="91">
        <f t="shared" ref="BP14:BQ14" si="23">BP10-BP13</f>
        <v>90.880000000000109</v>
      </c>
      <c r="BQ14" s="91">
        <f t="shared" si="23"/>
        <v>1134.380000000001</v>
      </c>
      <c r="BR14" s="91">
        <f t="shared" ref="BR14" si="24">BR10-BR13</f>
        <v>827.32000000000016</v>
      </c>
      <c r="BS14" s="91">
        <f t="shared" ref="BS14" si="25">BS10-BS13</f>
        <v>3421.19</v>
      </c>
      <c r="BT14" s="91">
        <f t="shared" ref="BT14" si="26">BT10-BT13</f>
        <v>820.39000000000033</v>
      </c>
      <c r="BU14" s="91">
        <f t="shared" ref="BU14" si="27">BU10-BU13</f>
        <v>2639.24</v>
      </c>
      <c r="BV14" s="91">
        <f t="shared" ref="BV14" si="28">BV10-BV13</f>
        <v>215.84999999999991</v>
      </c>
      <c r="BW14" s="91">
        <f t="shared" ref="BW14" si="29">BW10-BW13</f>
        <v>-133.73999999999978</v>
      </c>
      <c r="BX14" s="91">
        <f t="shared" ref="BX14" si="30">BX10-BX13</f>
        <v>1384.98</v>
      </c>
      <c r="BY14" s="91">
        <f t="shared" ref="BY14" si="31">BY10-BY13</f>
        <v>-1492.1399999999994</v>
      </c>
      <c r="BZ14" s="91">
        <f t="shared" ref="BZ14" si="32">BZ10-BZ13</f>
        <v>1224.7000000000003</v>
      </c>
      <c r="CA14" s="91">
        <f t="shared" ref="CA14" si="33">CA10-CA13</f>
        <v>5052.0200000000004</v>
      </c>
      <c r="CB14" s="91">
        <f t="shared" ref="CB14" si="34">CB10-CB13</f>
        <v>3189.4100000000003</v>
      </c>
      <c r="CC14" s="91">
        <f t="shared" ref="CC14" si="35">CC10-CC13</f>
        <v>26.159999999999854</v>
      </c>
      <c r="CD14" s="91">
        <f t="shared" ref="CD14" si="36">CD10-CD13</f>
        <v>-12.119999999999891</v>
      </c>
      <c r="CE14" s="91">
        <f t="shared" ref="CE14" si="37">CE10-CE13</f>
        <v>2020.9</v>
      </c>
      <c r="CF14" s="91">
        <f t="shared" ref="CF14" si="38">CF10-CF13</f>
        <v>7488.6500000000015</v>
      </c>
      <c r="CG14" s="91">
        <f t="shared" ref="CG14" si="39">CG10-CG13</f>
        <v>7622.6999999999971</v>
      </c>
      <c r="CH14" s="91">
        <f t="shared" ref="CH14" si="40">CH10-CH13</f>
        <v>1293.0900000000001</v>
      </c>
      <c r="CI14" s="91">
        <v>10301.6</v>
      </c>
      <c r="CJ14" s="91">
        <f>CJ10-CJ13</f>
        <v>3957.2299999999996</v>
      </c>
      <c r="CK14" s="91">
        <f t="shared" ref="CK14:CL14" si="41">CK10-CK13</f>
        <v>987</v>
      </c>
      <c r="CL14" s="91">
        <f t="shared" si="41"/>
        <v>1335.84</v>
      </c>
    </row>
    <row r="15" spans="1:90">
      <c r="A15" s="56" t="s">
        <v>128</v>
      </c>
      <c r="B15" s="50" t="s">
        <v>129</v>
      </c>
      <c r="C15" s="51"/>
      <c r="D15" s="51"/>
      <c r="E15" s="60"/>
      <c r="F15" s="86">
        <f t="shared" si="0"/>
        <v>21370083.959999993</v>
      </c>
      <c r="G15" s="140">
        <f t="shared" ref="G15:N15" si="42">G17+G21+G33</f>
        <v>461442.02999999997</v>
      </c>
      <c r="H15" s="88">
        <f t="shared" si="42"/>
        <v>684147.94</v>
      </c>
      <c r="I15" s="88">
        <f t="shared" si="42"/>
        <v>104729.64</v>
      </c>
      <c r="J15" s="88">
        <f t="shared" si="42"/>
        <v>905290.20000000007</v>
      </c>
      <c r="K15" s="88">
        <f t="shared" si="42"/>
        <v>62952.909999999989</v>
      </c>
      <c r="L15" s="88">
        <f t="shared" si="42"/>
        <v>106658.23</v>
      </c>
      <c r="M15" s="88">
        <f t="shared" si="42"/>
        <v>542847.36</v>
      </c>
      <c r="N15" s="88">
        <f t="shared" si="42"/>
        <v>527744.78999999992</v>
      </c>
      <c r="O15" s="88">
        <f>O21+O33</f>
        <v>10330.619999999999</v>
      </c>
      <c r="P15" s="163">
        <f t="shared" ref="P15:Z15" si="43">P17+P21+P33</f>
        <v>187544.14999999997</v>
      </c>
      <c r="Q15" s="88">
        <f t="shared" si="43"/>
        <v>212566.26999999996</v>
      </c>
      <c r="R15" s="88">
        <f t="shared" si="43"/>
        <v>345985.66000000003</v>
      </c>
      <c r="S15" s="88">
        <f t="shared" si="43"/>
        <v>127134.43999999999</v>
      </c>
      <c r="T15" s="88">
        <f t="shared" si="43"/>
        <v>309400.63</v>
      </c>
      <c r="U15" s="88">
        <f t="shared" si="43"/>
        <v>106212.27</v>
      </c>
      <c r="V15" s="88">
        <f t="shared" si="43"/>
        <v>87279.770000000019</v>
      </c>
      <c r="W15" s="88">
        <f t="shared" si="43"/>
        <v>60961.069999999992</v>
      </c>
      <c r="X15" s="88">
        <f t="shared" si="43"/>
        <v>134394.07</v>
      </c>
      <c r="Y15" s="88">
        <f t="shared" si="43"/>
        <v>261943.56</v>
      </c>
      <c r="Z15" s="88">
        <f t="shared" si="43"/>
        <v>632347.28</v>
      </c>
      <c r="AA15" s="88">
        <f t="shared" ref="AA15:AJ15" si="44">AA17+AA21+AA33</f>
        <v>136053.45000000001</v>
      </c>
      <c r="AB15" s="88">
        <f t="shared" si="44"/>
        <v>705739.82</v>
      </c>
      <c r="AC15" s="88">
        <f t="shared" si="44"/>
        <v>681609.07999999984</v>
      </c>
      <c r="AD15" s="88">
        <f t="shared" si="44"/>
        <v>685592.30999999994</v>
      </c>
      <c r="AE15" s="88">
        <f t="shared" si="44"/>
        <v>543883.41999999993</v>
      </c>
      <c r="AF15" s="88">
        <f t="shared" si="44"/>
        <v>81151.77</v>
      </c>
      <c r="AG15" s="88">
        <f t="shared" si="44"/>
        <v>70773.01999999999</v>
      </c>
      <c r="AH15" s="88">
        <f t="shared" si="44"/>
        <v>142034.59</v>
      </c>
      <c r="AI15" s="88">
        <f t="shared" si="44"/>
        <v>157170.53000000003</v>
      </c>
      <c r="AJ15" s="88">
        <f t="shared" si="44"/>
        <v>184121.34999999998</v>
      </c>
      <c r="AK15" s="88">
        <f>AK17+AK21+AK33</f>
        <v>557112.23</v>
      </c>
      <c r="AL15" s="88">
        <f>AL17+AL21+AL33</f>
        <v>557638.01</v>
      </c>
      <c r="AM15" s="88">
        <f t="shared" ref="AM15:AQ15" si="45">AM17+AM21+AM33</f>
        <v>215760.61000000002</v>
      </c>
      <c r="AN15" s="88">
        <f t="shared" si="45"/>
        <v>314394.07</v>
      </c>
      <c r="AO15" s="88">
        <f t="shared" si="45"/>
        <v>390389.8</v>
      </c>
      <c r="AP15" s="88">
        <f t="shared" si="45"/>
        <v>117841.26000000001</v>
      </c>
      <c r="AQ15" s="88">
        <f t="shared" si="45"/>
        <v>212225.74</v>
      </c>
      <c r="AR15" s="88">
        <f t="shared" ref="AR15:AW15" si="46">AR17+AR21+AR33</f>
        <v>401151.24</v>
      </c>
      <c r="AS15" s="88">
        <f t="shared" si="46"/>
        <v>362172.34</v>
      </c>
      <c r="AT15" s="88">
        <f t="shared" si="46"/>
        <v>250172.37000000002</v>
      </c>
      <c r="AU15" s="88">
        <f t="shared" si="46"/>
        <v>246790.27999999997</v>
      </c>
      <c r="AV15" s="88">
        <f t="shared" si="46"/>
        <v>138090.78</v>
      </c>
      <c r="AW15" s="88">
        <f t="shared" si="46"/>
        <v>679557.77</v>
      </c>
      <c r="AX15" s="88">
        <f t="shared" ref="AX15:BN15" si="47">AX17+AX21+AX33</f>
        <v>358844.69</v>
      </c>
      <c r="AY15" s="88">
        <f t="shared" si="47"/>
        <v>1107710.8799999999</v>
      </c>
      <c r="AZ15" s="88">
        <f t="shared" si="47"/>
        <v>565336.17999999993</v>
      </c>
      <c r="BA15" s="88">
        <f t="shared" si="47"/>
        <v>529349.04</v>
      </c>
      <c r="BB15" s="88">
        <f t="shared" si="47"/>
        <v>1512050.27</v>
      </c>
      <c r="BC15" s="88">
        <f t="shared" si="47"/>
        <v>502104.9</v>
      </c>
      <c r="BD15" s="88">
        <f t="shared" si="47"/>
        <v>431667.29</v>
      </c>
      <c r="BE15" s="88">
        <f t="shared" si="47"/>
        <v>321717.2</v>
      </c>
      <c r="BF15" s="88">
        <f t="shared" si="47"/>
        <v>801116.07000000007</v>
      </c>
      <c r="BG15" s="88">
        <f t="shared" si="47"/>
        <v>137113.76999999999</v>
      </c>
      <c r="BH15" s="88">
        <f t="shared" si="47"/>
        <v>318339.98</v>
      </c>
      <c r="BI15" s="88">
        <f t="shared" si="47"/>
        <v>109437.34</v>
      </c>
      <c r="BJ15" s="88">
        <f t="shared" si="47"/>
        <v>87975.400000000009</v>
      </c>
      <c r="BK15" s="88">
        <f t="shared" si="47"/>
        <v>91654.62</v>
      </c>
      <c r="BL15" s="88">
        <f t="shared" si="47"/>
        <v>93868.549999999988</v>
      </c>
      <c r="BM15" s="88">
        <f t="shared" si="47"/>
        <v>82635</v>
      </c>
      <c r="BN15" s="88">
        <f t="shared" si="47"/>
        <v>126994.8</v>
      </c>
      <c r="BO15" s="88">
        <v>3517.78</v>
      </c>
      <c r="BP15" s="88">
        <v>4477.6899999999996</v>
      </c>
      <c r="BQ15" s="88">
        <v>18816.78</v>
      </c>
      <c r="BR15" s="88">
        <v>4196.04</v>
      </c>
      <c r="BS15" s="88">
        <v>18256.93</v>
      </c>
      <c r="BT15" s="88">
        <v>19957.490000000002</v>
      </c>
      <c r="BU15" s="88">
        <v>14636.96</v>
      </c>
      <c r="BV15" s="88">
        <v>3167.15</v>
      </c>
      <c r="BW15" s="88">
        <v>3460.3</v>
      </c>
      <c r="BX15" s="88">
        <v>4535.17</v>
      </c>
      <c r="BY15" s="88">
        <v>56633.87</v>
      </c>
      <c r="BZ15" s="88">
        <v>12401.24</v>
      </c>
      <c r="CA15" s="88">
        <v>13749.22</v>
      </c>
      <c r="CB15" s="88">
        <v>6529.83</v>
      </c>
      <c r="CC15" s="88">
        <v>18823.89</v>
      </c>
      <c r="CD15" s="88">
        <v>9736.48</v>
      </c>
      <c r="CE15" s="88">
        <v>6244.4</v>
      </c>
      <c r="CF15" s="88">
        <v>69499.98</v>
      </c>
      <c r="CG15" s="88">
        <v>66876.98</v>
      </c>
      <c r="CH15" s="88">
        <v>8840.42</v>
      </c>
      <c r="CI15" s="88">
        <v>97425.56</v>
      </c>
      <c r="CJ15" s="88">
        <v>25339.16</v>
      </c>
      <c r="CK15" s="88">
        <v>724.87</v>
      </c>
      <c r="CL15" s="88">
        <v>981.06</v>
      </c>
    </row>
    <row r="16" spans="1:90">
      <c r="A16" s="85" t="s">
        <v>130</v>
      </c>
      <c r="B16" s="44" t="s">
        <v>135</v>
      </c>
      <c r="C16" s="57"/>
      <c r="D16" s="5"/>
      <c r="E16" s="5"/>
      <c r="F16" s="155">
        <f t="shared" si="0"/>
        <v>2780581.99</v>
      </c>
      <c r="G16" s="144"/>
      <c r="H16" s="92"/>
      <c r="I16" s="92"/>
      <c r="J16" s="92">
        <f t="shared" ref="J16:AB16" si="48">J17+J21+J33</f>
        <v>905290.20000000007</v>
      </c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>
        <f>Z17+Z21+Z33</f>
        <v>632347.28</v>
      </c>
      <c r="AA16" s="92">
        <f t="shared" si="48"/>
        <v>136053.45000000001</v>
      </c>
      <c r="AB16" s="92">
        <f t="shared" si="48"/>
        <v>705739.82</v>
      </c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  <c r="AR16" s="92">
        <f t="shared" ref="AR16" si="49">AR17+AR21+AR33</f>
        <v>401151.24</v>
      </c>
      <c r="AS16" s="92"/>
      <c r="AT16" s="92"/>
      <c r="AU16" s="92"/>
      <c r="AV16" s="92"/>
      <c r="AW16" s="92"/>
      <c r="AX16" s="92"/>
      <c r="AY16" s="92"/>
      <c r="AZ16" s="92"/>
      <c r="BA16" s="92"/>
      <c r="BB16" s="97"/>
      <c r="BC16" s="92"/>
      <c r="BD16" s="92"/>
      <c r="BE16" s="92"/>
      <c r="BF16" s="92"/>
      <c r="BG16" s="92"/>
      <c r="BH16" s="92"/>
      <c r="BI16" s="92"/>
      <c r="BJ16" s="92"/>
      <c r="BK16" s="92"/>
      <c r="BL16" s="92"/>
      <c r="BM16" s="92"/>
      <c r="BN16" s="92"/>
      <c r="BO16" s="92"/>
      <c r="BP16" s="92"/>
      <c r="BQ16" s="92"/>
      <c r="BR16" s="92"/>
      <c r="BS16" s="92"/>
      <c r="BT16" s="92"/>
      <c r="BU16" s="92"/>
      <c r="BV16" s="92"/>
      <c r="BW16" s="92"/>
      <c r="BX16" s="92"/>
      <c r="BY16" s="92"/>
      <c r="BZ16" s="92"/>
      <c r="CA16" s="92"/>
      <c r="CB16" s="92"/>
      <c r="CC16" s="92"/>
      <c r="CD16" s="92"/>
      <c r="CE16" s="92"/>
      <c r="CF16" s="92"/>
      <c r="CG16" s="92"/>
      <c r="CH16" s="92"/>
      <c r="CI16" s="92"/>
      <c r="CJ16" s="92">
        <f t="shared" ref="CJ16:CL16" si="50">CJ17+CJ21+CJ33</f>
        <v>0</v>
      </c>
      <c r="CK16" s="92">
        <f t="shared" si="50"/>
        <v>0</v>
      </c>
      <c r="CL16" s="92">
        <f t="shared" si="50"/>
        <v>0</v>
      </c>
    </row>
    <row r="17" spans="1:90" s="133" customFormat="1" ht="13.5" customHeight="1">
      <c r="A17" s="130" t="s">
        <v>131</v>
      </c>
      <c r="B17" s="131" t="s">
        <v>132</v>
      </c>
      <c r="C17" s="131"/>
      <c r="D17" s="131"/>
      <c r="E17" s="131"/>
      <c r="F17" s="86">
        <f t="shared" si="0"/>
        <v>1921556.21</v>
      </c>
      <c r="G17" s="145">
        <f t="shared" ref="G17:N17" si="51">G18+G19+G20</f>
        <v>22998.61</v>
      </c>
      <c r="H17" s="132">
        <f t="shared" si="51"/>
        <v>76390.84</v>
      </c>
      <c r="I17" s="132">
        <f t="shared" si="51"/>
        <v>2075.56</v>
      </c>
      <c r="J17" s="132">
        <f t="shared" si="51"/>
        <v>55931.369999999995</v>
      </c>
      <c r="K17" s="132">
        <f t="shared" si="51"/>
        <v>2562.1</v>
      </c>
      <c r="L17" s="132">
        <f t="shared" si="51"/>
        <v>3851.44</v>
      </c>
      <c r="M17" s="132">
        <f t="shared" si="51"/>
        <v>64609.11</v>
      </c>
      <c r="N17" s="132">
        <f t="shared" si="51"/>
        <v>45426.6</v>
      </c>
      <c r="O17" s="132" t="s">
        <v>258</v>
      </c>
      <c r="P17" s="132">
        <f>SUM(P18:P20)</f>
        <v>23551.360000000001</v>
      </c>
      <c r="Q17" s="132">
        <f>Q18+Q19+Q20</f>
        <v>38392.800000000003</v>
      </c>
      <c r="R17" s="132">
        <f>R18+R19+R20</f>
        <v>119292.01000000001</v>
      </c>
      <c r="S17" s="132">
        <f>S18+S19+S20</f>
        <v>3369.84</v>
      </c>
      <c r="T17" s="132">
        <f t="shared" ref="T17:X17" si="52">T18+T19+T20</f>
        <v>68415.72</v>
      </c>
      <c r="U17" s="132">
        <f t="shared" si="52"/>
        <v>5925.16</v>
      </c>
      <c r="V17" s="132">
        <f t="shared" si="52"/>
        <v>14396.71</v>
      </c>
      <c r="W17" s="132">
        <f t="shared" si="52"/>
        <v>6247.5299999999988</v>
      </c>
      <c r="X17" s="132">
        <f t="shared" si="52"/>
        <v>13516.22</v>
      </c>
      <c r="Y17" s="132">
        <f>Y18+Y19+Y20</f>
        <v>20861.439999999999</v>
      </c>
      <c r="Z17" s="132">
        <f>Z18+Z19+Z20</f>
        <v>62406.58</v>
      </c>
      <c r="AA17" s="132">
        <f t="shared" ref="AA17" si="53">AA18+AA19+AA20</f>
        <v>18254.8</v>
      </c>
      <c r="AB17" s="132">
        <f t="shared" ref="AB17:AJ17" si="54">AB18+AB19+AB20</f>
        <v>49427.58</v>
      </c>
      <c r="AC17" s="132">
        <f t="shared" si="54"/>
        <v>36709.129999999997</v>
      </c>
      <c r="AD17" s="132">
        <f t="shared" si="54"/>
        <v>33109.83</v>
      </c>
      <c r="AE17" s="132">
        <f t="shared" si="54"/>
        <v>55503.05</v>
      </c>
      <c r="AF17" s="132">
        <f t="shared" si="54"/>
        <v>2151.02</v>
      </c>
      <c r="AG17" s="132">
        <f t="shared" si="54"/>
        <v>1875.92</v>
      </c>
      <c r="AH17" s="132">
        <f t="shared" si="54"/>
        <v>17625.98</v>
      </c>
      <c r="AI17" s="132">
        <f t="shared" si="54"/>
        <v>12621.33</v>
      </c>
      <c r="AJ17" s="132">
        <f t="shared" si="54"/>
        <v>61646.17</v>
      </c>
      <c r="AK17" s="132">
        <f>AK18+AK19+AK20</f>
        <v>51720.79</v>
      </c>
      <c r="AL17" s="132">
        <f>AL18+AL19+AL20</f>
        <v>25763.940000000002</v>
      </c>
      <c r="AM17" s="132">
        <f t="shared" ref="AM17:AQ17" si="55">AM18+AM19+AM20</f>
        <v>16959.759999999998</v>
      </c>
      <c r="AN17" s="132">
        <f t="shared" si="55"/>
        <v>19406.71</v>
      </c>
      <c r="AO17" s="132">
        <f t="shared" si="55"/>
        <v>42305.48</v>
      </c>
      <c r="AP17" s="132">
        <f t="shared" si="55"/>
        <v>21026.91</v>
      </c>
      <c r="AQ17" s="132">
        <f t="shared" si="55"/>
        <v>10640.869999999999</v>
      </c>
      <c r="AR17" s="132">
        <f t="shared" ref="AR17:AW17" si="56">AR18+AR19+AR20</f>
        <v>26970.7</v>
      </c>
      <c r="AS17" s="132">
        <f t="shared" si="56"/>
        <v>66297.22</v>
      </c>
      <c r="AT17" s="132">
        <f t="shared" si="56"/>
        <v>31796.86</v>
      </c>
      <c r="AU17" s="132">
        <f t="shared" si="56"/>
        <v>21335.08</v>
      </c>
      <c r="AV17" s="132">
        <f t="shared" si="56"/>
        <v>19272.149999999998</v>
      </c>
      <c r="AW17" s="132">
        <f t="shared" si="56"/>
        <v>30443.159999999996</v>
      </c>
      <c r="AX17" s="132">
        <f t="shared" ref="AX17:BN17" si="57">AX18+AX19+AX20</f>
        <v>16069.97</v>
      </c>
      <c r="AY17" s="132">
        <f t="shared" si="57"/>
        <v>65266.96</v>
      </c>
      <c r="AZ17" s="132">
        <f t="shared" si="57"/>
        <v>33250.42</v>
      </c>
      <c r="BA17" s="132">
        <f t="shared" si="57"/>
        <v>7886.52</v>
      </c>
      <c r="BB17" s="132">
        <f t="shared" si="57"/>
        <v>254485.71999999997</v>
      </c>
      <c r="BC17" s="132">
        <f t="shared" si="57"/>
        <v>33123.490000000005</v>
      </c>
      <c r="BD17" s="132">
        <f t="shared" si="57"/>
        <v>42340.94</v>
      </c>
      <c r="BE17" s="132">
        <f t="shared" si="57"/>
        <v>39643.229999999996</v>
      </c>
      <c r="BF17" s="132">
        <f t="shared" si="57"/>
        <v>36281.279999999999</v>
      </c>
      <c r="BG17" s="132">
        <f t="shared" si="57"/>
        <v>8334.2899999999991</v>
      </c>
      <c r="BH17" s="132">
        <f t="shared" si="57"/>
        <v>28644.989999999998</v>
      </c>
      <c r="BI17" s="132">
        <f t="shared" si="57"/>
        <v>5398.87</v>
      </c>
      <c r="BJ17" s="132">
        <f t="shared" si="57"/>
        <v>2435.75</v>
      </c>
      <c r="BK17" s="132">
        <f t="shared" si="57"/>
        <v>8793.27</v>
      </c>
      <c r="BL17" s="132">
        <f t="shared" si="57"/>
        <v>6439.08</v>
      </c>
      <c r="BM17" s="132">
        <f t="shared" si="57"/>
        <v>2969.65</v>
      </c>
      <c r="BN17" s="132">
        <f t="shared" si="57"/>
        <v>7106.34</v>
      </c>
      <c r="BO17" s="132"/>
      <c r="BP17" s="132"/>
      <c r="BQ17" s="132"/>
      <c r="BR17" s="132"/>
      <c r="BS17" s="132"/>
      <c r="BT17" s="132"/>
      <c r="BU17" s="132"/>
      <c r="BV17" s="132"/>
      <c r="BW17" s="132"/>
      <c r="BX17" s="132"/>
      <c r="BY17" s="132"/>
      <c r="BZ17" s="132"/>
      <c r="CA17" s="132"/>
      <c r="CB17" s="132"/>
      <c r="CC17" s="132"/>
      <c r="CD17" s="132"/>
      <c r="CE17" s="132"/>
      <c r="CF17" s="132"/>
      <c r="CG17" s="132"/>
      <c r="CH17" s="132"/>
      <c r="CI17" s="132"/>
      <c r="CJ17" s="132">
        <f t="shared" ref="CJ17:CL17" si="58">CJ18+CJ19+CJ20</f>
        <v>0</v>
      </c>
      <c r="CK17" s="132">
        <f t="shared" si="58"/>
        <v>0</v>
      </c>
      <c r="CL17" s="132">
        <f t="shared" si="58"/>
        <v>0</v>
      </c>
    </row>
    <row r="18" spans="1:90" s="110" customFormat="1">
      <c r="A18" s="99" t="s">
        <v>247</v>
      </c>
      <c r="B18" s="106" t="s">
        <v>248</v>
      </c>
      <c r="C18" s="107"/>
      <c r="D18" s="107"/>
      <c r="E18" s="107"/>
      <c r="F18" s="155">
        <f t="shared" si="0"/>
        <v>746226.07000000007</v>
      </c>
      <c r="G18" s="146">
        <v>6954.91</v>
      </c>
      <c r="H18" s="109">
        <v>19782.66</v>
      </c>
      <c r="I18" s="109">
        <v>0</v>
      </c>
      <c r="J18" s="108">
        <v>14303.56</v>
      </c>
      <c r="K18" s="108">
        <v>334.37</v>
      </c>
      <c r="L18" s="108">
        <v>0</v>
      </c>
      <c r="M18" s="108">
        <v>27120.21</v>
      </c>
      <c r="N18" s="108">
        <v>26859.25</v>
      </c>
      <c r="O18" s="108" t="s">
        <v>258</v>
      </c>
      <c r="P18" s="108">
        <v>21721.55</v>
      </c>
      <c r="Q18" s="108">
        <v>2772.72</v>
      </c>
      <c r="R18" s="108">
        <v>53893.46</v>
      </c>
      <c r="S18" s="108"/>
      <c r="T18" s="108">
        <v>7221.02</v>
      </c>
      <c r="U18" s="108">
        <v>1931.28</v>
      </c>
      <c r="V18" s="108">
        <v>0</v>
      </c>
      <c r="W18" s="108">
        <v>1647.87</v>
      </c>
      <c r="X18" s="108">
        <v>0</v>
      </c>
      <c r="Y18" s="108">
        <v>9558.64</v>
      </c>
      <c r="Z18" s="108">
        <v>13683.97</v>
      </c>
      <c r="AA18" s="108">
        <v>609.82000000000005</v>
      </c>
      <c r="AB18" s="108">
        <v>23215.07</v>
      </c>
      <c r="AC18" s="108">
        <v>10001.65</v>
      </c>
      <c r="AD18" s="108">
        <v>12462.68</v>
      </c>
      <c r="AE18" s="108">
        <v>38650.160000000003</v>
      </c>
      <c r="AF18" s="108">
        <v>0</v>
      </c>
      <c r="AG18" s="108">
        <v>0</v>
      </c>
      <c r="AH18" s="108">
        <v>351.46</v>
      </c>
      <c r="AI18" s="108">
        <v>1409.57</v>
      </c>
      <c r="AJ18" s="108">
        <v>58311.43</v>
      </c>
      <c r="AK18" s="108">
        <v>19759.22</v>
      </c>
      <c r="AL18" s="108">
        <v>10708.69</v>
      </c>
      <c r="AM18" s="108">
        <v>3862.31</v>
      </c>
      <c r="AN18" s="108">
        <v>6761.2</v>
      </c>
      <c r="AO18" s="108">
        <v>9646.0300000000007</v>
      </c>
      <c r="AP18" s="108">
        <v>14775.7</v>
      </c>
      <c r="AQ18" s="108">
        <v>4820.28</v>
      </c>
      <c r="AR18" s="108">
        <v>23264.14</v>
      </c>
      <c r="AS18" s="108">
        <v>40904.18</v>
      </c>
      <c r="AT18" s="108">
        <v>23494.400000000001</v>
      </c>
      <c r="AU18" s="108">
        <v>2833.11</v>
      </c>
      <c r="AV18" s="108">
        <v>16036.97</v>
      </c>
      <c r="AW18" s="108">
        <v>9011.7099999999991</v>
      </c>
      <c r="AX18" s="108">
        <v>7706.41</v>
      </c>
      <c r="AY18" s="108">
        <v>25553.43</v>
      </c>
      <c r="AZ18" s="108">
        <v>12633.58</v>
      </c>
      <c r="BA18" s="108">
        <v>6383.33</v>
      </c>
      <c r="BB18" s="108">
        <v>11949.36</v>
      </c>
      <c r="BC18" s="108">
        <v>20354.13</v>
      </c>
      <c r="BD18" s="108">
        <v>31740.42</v>
      </c>
      <c r="BE18" s="108">
        <v>31962.959999999999</v>
      </c>
      <c r="BF18" s="108">
        <v>15456.47</v>
      </c>
      <c r="BG18" s="108">
        <v>5257.36</v>
      </c>
      <c r="BH18" s="108">
        <v>20369.86</v>
      </c>
      <c r="BI18" s="108">
        <v>2566.13</v>
      </c>
      <c r="BJ18" s="108">
        <v>1141.47</v>
      </c>
      <c r="BK18" s="108">
        <v>6401.73</v>
      </c>
      <c r="BL18" s="108">
        <v>4763.8500000000004</v>
      </c>
      <c r="BM18" s="108">
        <v>784.04</v>
      </c>
      <c r="BN18" s="108">
        <v>2526.29</v>
      </c>
      <c r="BO18" s="108"/>
      <c r="BP18" s="109"/>
      <c r="BQ18" s="109"/>
      <c r="BR18" s="109"/>
      <c r="BS18" s="109"/>
      <c r="BT18" s="109"/>
      <c r="BU18" s="109"/>
      <c r="BV18" s="109"/>
      <c r="BW18" s="109"/>
      <c r="BX18" s="109"/>
      <c r="BY18" s="109"/>
      <c r="BZ18" s="109"/>
      <c r="CA18" s="109"/>
      <c r="CB18" s="109"/>
      <c r="CC18" s="109"/>
      <c r="CD18" s="109"/>
      <c r="CE18" s="109"/>
      <c r="CF18" s="109"/>
      <c r="CG18" s="109"/>
      <c r="CH18" s="109"/>
      <c r="CI18" s="109"/>
      <c r="CJ18" s="109"/>
      <c r="CK18" s="109"/>
      <c r="CL18" s="109"/>
    </row>
    <row r="19" spans="1:90" s="103" customFormat="1">
      <c r="A19" s="105" t="s">
        <v>249</v>
      </c>
      <c r="B19" s="104" t="s">
        <v>250</v>
      </c>
      <c r="C19" s="100"/>
      <c r="D19" s="100"/>
      <c r="E19" s="100"/>
      <c r="F19" s="86">
        <f t="shared" si="0"/>
        <v>32922.53</v>
      </c>
      <c r="G19" s="147"/>
      <c r="H19" s="102"/>
      <c r="I19" s="102">
        <v>0</v>
      </c>
      <c r="J19" s="101"/>
      <c r="K19" s="101"/>
      <c r="L19" s="101">
        <v>0</v>
      </c>
      <c r="M19" s="101"/>
      <c r="N19" s="101"/>
      <c r="O19" s="101" t="s">
        <v>258</v>
      </c>
      <c r="P19" s="101">
        <v>0</v>
      </c>
      <c r="Q19" s="101">
        <v>0</v>
      </c>
      <c r="R19" s="101">
        <v>0</v>
      </c>
      <c r="S19" s="101"/>
      <c r="T19" s="101">
        <v>0</v>
      </c>
      <c r="U19" s="101">
        <v>0</v>
      </c>
      <c r="V19" s="101">
        <f>8258.59+1299.55</f>
        <v>9558.14</v>
      </c>
      <c r="W19" s="101">
        <v>3109.93</v>
      </c>
      <c r="X19" s="101">
        <v>0</v>
      </c>
      <c r="Y19" s="101">
        <v>0</v>
      </c>
      <c r="Z19" s="101">
        <v>0</v>
      </c>
      <c r="AA19" s="101">
        <v>0</v>
      </c>
      <c r="AB19" s="101">
        <v>2110.27</v>
      </c>
      <c r="AC19" s="101">
        <v>0</v>
      </c>
      <c r="AD19" s="101">
        <v>0</v>
      </c>
      <c r="AE19" s="101">
        <v>0</v>
      </c>
      <c r="AF19" s="101">
        <v>0</v>
      </c>
      <c r="AG19" s="101">
        <v>0</v>
      </c>
      <c r="AH19" s="101">
        <v>0</v>
      </c>
      <c r="AI19" s="101">
        <v>0</v>
      </c>
      <c r="AJ19" s="101">
        <v>0</v>
      </c>
      <c r="AK19" s="101">
        <v>0</v>
      </c>
      <c r="AL19" s="101">
        <v>0</v>
      </c>
      <c r="AM19" s="101">
        <v>5052.74</v>
      </c>
      <c r="AN19" s="101">
        <v>0</v>
      </c>
      <c r="AO19" s="101">
        <v>0</v>
      </c>
      <c r="AP19" s="101"/>
      <c r="AQ19" s="101"/>
      <c r="AR19" s="101"/>
      <c r="AS19" s="101"/>
      <c r="AT19" s="101">
        <v>0</v>
      </c>
      <c r="AU19" s="101"/>
      <c r="AV19" s="101"/>
      <c r="AW19" s="101">
        <v>1553.08</v>
      </c>
      <c r="AX19" s="101">
        <v>0</v>
      </c>
      <c r="AY19" s="101">
        <v>9560.8799999999992</v>
      </c>
      <c r="AZ19" s="101"/>
      <c r="BA19" s="101"/>
      <c r="BB19" s="101">
        <v>548.25</v>
      </c>
      <c r="BC19" s="101"/>
      <c r="BD19" s="101"/>
      <c r="BE19" s="101"/>
      <c r="BF19" s="101"/>
      <c r="BG19" s="101">
        <v>0</v>
      </c>
      <c r="BH19" s="101"/>
      <c r="BI19" s="101"/>
      <c r="BJ19" s="101">
        <v>0</v>
      </c>
      <c r="BK19" s="101">
        <v>0</v>
      </c>
      <c r="BL19" s="101">
        <v>0</v>
      </c>
      <c r="BM19" s="101">
        <v>0</v>
      </c>
      <c r="BN19" s="101">
        <f>1334.89+94.35</f>
        <v>1429.24</v>
      </c>
      <c r="BO19" s="101"/>
      <c r="BP19" s="102"/>
      <c r="BQ19" s="102"/>
      <c r="BR19" s="102"/>
      <c r="BS19" s="102"/>
      <c r="BT19" s="102"/>
      <c r="BU19" s="102"/>
      <c r="BV19" s="102"/>
      <c r="BW19" s="102"/>
      <c r="BX19" s="102"/>
      <c r="BY19" s="102"/>
      <c r="BZ19" s="102"/>
      <c r="CA19" s="102"/>
      <c r="CB19" s="102"/>
      <c r="CC19" s="102"/>
      <c r="CD19" s="102"/>
      <c r="CE19" s="102"/>
      <c r="CF19" s="102"/>
      <c r="CG19" s="102"/>
      <c r="CH19" s="102"/>
      <c r="CI19" s="102"/>
      <c r="CJ19" s="102"/>
      <c r="CK19" s="102"/>
      <c r="CL19" s="102"/>
    </row>
    <row r="20" spans="1:90" s="115" customFormat="1">
      <c r="A20" s="111" t="s">
        <v>251</v>
      </c>
      <c r="B20" s="112" t="s">
        <v>252</v>
      </c>
      <c r="C20" s="112"/>
      <c r="D20" s="112"/>
      <c r="E20" s="128"/>
      <c r="F20" s="155">
        <f t="shared" si="0"/>
        <v>1142407.6100000001</v>
      </c>
      <c r="G20" s="148">
        <v>16043.7</v>
      </c>
      <c r="H20" s="114">
        <v>56608.18</v>
      </c>
      <c r="I20" s="114">
        <v>2075.56</v>
      </c>
      <c r="J20" s="113">
        <v>41627.81</v>
      </c>
      <c r="K20" s="113">
        <v>2227.73</v>
      </c>
      <c r="L20" s="113">
        <v>3851.44</v>
      </c>
      <c r="M20" s="113">
        <v>37488.9</v>
      </c>
      <c r="N20" s="113">
        <v>18567.349999999999</v>
      </c>
      <c r="O20" s="113" t="s">
        <v>258</v>
      </c>
      <c r="P20" s="113">
        <v>1829.81</v>
      </c>
      <c r="Q20" s="113">
        <v>35620.080000000002</v>
      </c>
      <c r="R20" s="113">
        <v>65398.55</v>
      </c>
      <c r="S20" s="113">
        <v>3369.84</v>
      </c>
      <c r="T20" s="113">
        <v>61194.7</v>
      </c>
      <c r="U20" s="113">
        <v>3993.88</v>
      </c>
      <c r="V20" s="113">
        <v>4838.57</v>
      </c>
      <c r="W20" s="113">
        <v>1489.73</v>
      </c>
      <c r="X20" s="113">
        <v>13516.22</v>
      </c>
      <c r="Y20" s="113">
        <v>11302.8</v>
      </c>
      <c r="Z20" s="113">
        <v>48722.61</v>
      </c>
      <c r="AA20" s="113">
        <v>17644.98</v>
      </c>
      <c r="AB20" s="113">
        <v>24102.240000000002</v>
      </c>
      <c r="AC20" s="113">
        <v>26707.48</v>
      </c>
      <c r="AD20" s="113">
        <v>20647.150000000001</v>
      </c>
      <c r="AE20" s="113">
        <v>16852.89</v>
      </c>
      <c r="AF20" s="113">
        <v>2151.02</v>
      </c>
      <c r="AG20" s="113">
        <v>1875.92</v>
      </c>
      <c r="AH20" s="113">
        <v>17274.52</v>
      </c>
      <c r="AI20" s="113">
        <v>11211.76</v>
      </c>
      <c r="AJ20" s="113">
        <v>3334.74</v>
      </c>
      <c r="AK20" s="113">
        <v>31961.57</v>
      </c>
      <c r="AL20" s="113">
        <v>15055.25</v>
      </c>
      <c r="AM20" s="113">
        <v>8044.71</v>
      </c>
      <c r="AN20" s="113">
        <v>12645.51</v>
      </c>
      <c r="AO20" s="113">
        <v>32659.45</v>
      </c>
      <c r="AP20" s="113">
        <v>6251.21</v>
      </c>
      <c r="AQ20" s="113">
        <v>5820.59</v>
      </c>
      <c r="AR20" s="113">
        <v>3706.56</v>
      </c>
      <c r="AS20" s="113">
        <v>25393.040000000001</v>
      </c>
      <c r="AT20" s="113">
        <v>8302.4599999999991</v>
      </c>
      <c r="AU20" s="113">
        <v>18501.97</v>
      </c>
      <c r="AV20" s="113">
        <v>3235.18</v>
      </c>
      <c r="AW20" s="113">
        <v>19878.37</v>
      </c>
      <c r="AX20" s="113">
        <v>8363.56</v>
      </c>
      <c r="AY20" s="113">
        <v>30152.65</v>
      </c>
      <c r="AZ20" s="113">
        <v>20616.84</v>
      </c>
      <c r="BA20" s="113">
        <v>1503.19</v>
      </c>
      <c r="BB20" s="113">
        <v>241988.11</v>
      </c>
      <c r="BC20" s="113">
        <v>12769.36</v>
      </c>
      <c r="BD20" s="113">
        <v>10600.52</v>
      </c>
      <c r="BE20" s="113">
        <v>7680.27</v>
      </c>
      <c r="BF20" s="113">
        <v>20824.810000000001</v>
      </c>
      <c r="BG20" s="113">
        <v>3076.93</v>
      </c>
      <c r="BH20" s="113">
        <v>8275.1299999999992</v>
      </c>
      <c r="BI20" s="113">
        <v>2832.74</v>
      </c>
      <c r="BJ20" s="113">
        <v>1294.28</v>
      </c>
      <c r="BK20" s="113">
        <v>2391.54</v>
      </c>
      <c r="BL20" s="113">
        <v>1675.23</v>
      </c>
      <c r="BM20" s="113">
        <f>1676.28+509.33</f>
        <v>2185.61</v>
      </c>
      <c r="BN20" s="113">
        <v>3150.81</v>
      </c>
      <c r="BO20" s="113"/>
      <c r="BP20" s="114"/>
      <c r="BQ20" s="114"/>
      <c r="BR20" s="114"/>
      <c r="BS20" s="114"/>
      <c r="BT20" s="114"/>
      <c r="BU20" s="114"/>
      <c r="BV20" s="114"/>
      <c r="BW20" s="114"/>
      <c r="BX20" s="114"/>
      <c r="BY20" s="114"/>
      <c r="BZ20" s="114"/>
      <c r="CA20" s="114"/>
      <c r="CB20" s="114"/>
      <c r="CC20" s="114"/>
      <c r="CD20" s="114"/>
      <c r="CE20" s="114"/>
      <c r="CF20" s="114"/>
      <c r="CG20" s="114"/>
      <c r="CH20" s="114"/>
      <c r="CI20" s="114"/>
      <c r="CJ20" s="114"/>
      <c r="CK20" s="114"/>
      <c r="CL20" s="114"/>
    </row>
    <row r="21" spans="1:90" s="118" customFormat="1" ht="12.75" customHeight="1">
      <c r="A21" s="116" t="s">
        <v>133</v>
      </c>
      <c r="B21" s="259" t="s">
        <v>153</v>
      </c>
      <c r="C21" s="259"/>
      <c r="D21" s="259"/>
      <c r="E21" s="260"/>
      <c r="F21" s="86">
        <f t="shared" si="0"/>
        <v>14699222.48</v>
      </c>
      <c r="G21" s="149">
        <f t="shared" ref="G21:N21" si="59">G22+G23+G24+G25+G26+G27+G29+G30+G31+G32</f>
        <v>340069.88</v>
      </c>
      <c r="H21" s="117">
        <f t="shared" si="59"/>
        <v>471394.66</v>
      </c>
      <c r="I21" s="117">
        <f t="shared" si="59"/>
        <v>79423.240000000005</v>
      </c>
      <c r="J21" s="117">
        <f t="shared" si="59"/>
        <v>658788.22000000009</v>
      </c>
      <c r="K21" s="117">
        <f t="shared" si="59"/>
        <v>46840.929999999993</v>
      </c>
      <c r="L21" s="117">
        <f t="shared" si="59"/>
        <v>79740.03</v>
      </c>
      <c r="M21" s="117">
        <f t="shared" si="59"/>
        <v>370935.95</v>
      </c>
      <c r="N21" s="117">
        <f t="shared" si="59"/>
        <v>374100.47</v>
      </c>
      <c r="O21" s="117">
        <f>O24+O25+O26+O29+O30+O31+O32</f>
        <v>7856.41</v>
      </c>
      <c r="P21" s="117">
        <f>SUM(P22:P32)</f>
        <v>126471.54999999999</v>
      </c>
      <c r="Q21" s="117">
        <f>SUM(Q22:Q32)</f>
        <v>134974.66999999998</v>
      </c>
      <c r="R21" s="117">
        <f>SUM(R22:R32)</f>
        <v>175273.17</v>
      </c>
      <c r="S21" s="117">
        <f>SUM(S22:S32)</f>
        <v>95995.54</v>
      </c>
      <c r="T21" s="117">
        <f t="shared" ref="T21:X21" si="60">SUM(T22:T32)</f>
        <v>186457.19999999998</v>
      </c>
      <c r="U21" s="117">
        <f t="shared" si="60"/>
        <v>77678.06</v>
      </c>
      <c r="V21" s="117">
        <f t="shared" si="60"/>
        <v>56435.8</v>
      </c>
      <c r="W21" s="117">
        <f t="shared" si="60"/>
        <v>42437.469999999994</v>
      </c>
      <c r="X21" s="117">
        <f t="shared" si="60"/>
        <v>93756.489999999991</v>
      </c>
      <c r="Y21" s="117">
        <f>Y22+Y23+Y24+Y25+Y26+Y27+Y29+Y30+Y31+Y32</f>
        <v>186990.53</v>
      </c>
      <c r="Z21" s="117">
        <f>Z22+Z23+Z24+Z25+Z26+Z27+Z29+Z30+Z31+Z32</f>
        <v>442063.13</v>
      </c>
      <c r="AA21" s="117">
        <f t="shared" ref="AA21" si="61">SUM(AA22:AA32)</f>
        <v>91368.17</v>
      </c>
      <c r="AB21" s="117">
        <f>AB22+AB23+AB24+AB25+AB26+AB27+AB29+AB30+AB31+AB32</f>
        <v>509055.49</v>
      </c>
      <c r="AC21" s="117">
        <f t="shared" ref="AC21:AE21" si="62">AC22+AC23+AC24+AC25+AC26+AC27+AC29+AC30+AC31+AC32</f>
        <v>500203.76999999996</v>
      </c>
      <c r="AD21" s="117">
        <f t="shared" si="62"/>
        <v>506085.00999999995</v>
      </c>
      <c r="AE21" s="117">
        <f t="shared" si="62"/>
        <v>378802.48</v>
      </c>
      <c r="AF21" s="117">
        <f t="shared" ref="AF21" si="63">AF22+AF23+AF24+AF25+AF26+AF27+AF29+AF30+AF31+AF32</f>
        <v>61275.360000000008</v>
      </c>
      <c r="AG21" s="117">
        <f t="shared" ref="AG21" si="64">AG22+AG23+AG24+AG25+AG26+AG27+AG29+AG30+AG31+AG32</f>
        <v>53438.659999999996</v>
      </c>
      <c r="AH21" s="117">
        <f t="shared" ref="AH21" si="65">AH22+AH23+AH24+AH25+AH26+AH27+AH29+AH30+AH31+AH32</f>
        <v>96233.69</v>
      </c>
      <c r="AI21" s="117">
        <f t="shared" ref="AI21:AJ21" si="66">AI22+AI23+AI24+AI25+AI26+AI27+AI29+AI30+AI31+AI32</f>
        <v>112116.70000000001</v>
      </c>
      <c r="AJ21" s="117">
        <f t="shared" si="66"/>
        <v>94995.43</v>
      </c>
      <c r="AK21" s="117">
        <f>AK22+AK23+AK24+AK25+AK26+AK27+AK29+AK30+AK31+AK32</f>
        <v>391987.81000000006</v>
      </c>
      <c r="AL21" s="117">
        <f>AL22+AL23+AL24+AL25+AL26+AL27+AL29+AL30+AL31+AL32</f>
        <v>412537.49999999994</v>
      </c>
      <c r="AM21" s="117">
        <f t="shared" ref="AM21:AQ21" si="67">AM22+AM23+AM24+AM25+AM26+AM27+AM29+AM30+AM31+AM32</f>
        <v>154195.91</v>
      </c>
      <c r="AN21" s="117">
        <f t="shared" si="67"/>
        <v>228801.06</v>
      </c>
      <c r="AO21" s="117">
        <f t="shared" si="67"/>
        <v>269984.65000000002</v>
      </c>
      <c r="AP21" s="117">
        <f t="shared" si="67"/>
        <v>74788.23</v>
      </c>
      <c r="AQ21" s="117">
        <f t="shared" si="67"/>
        <v>156345.18</v>
      </c>
      <c r="AR21" s="117">
        <f t="shared" ref="AR21:AW21" si="68">AR22+AR23+AR24+AR25+AR26+AR27+AR29+AR30+AR31+AR32</f>
        <v>290225.67</v>
      </c>
      <c r="AS21" s="117">
        <f t="shared" si="68"/>
        <v>229481.55000000002</v>
      </c>
      <c r="AT21" s="117">
        <f t="shared" si="68"/>
        <v>169370.53</v>
      </c>
      <c r="AU21" s="117">
        <f t="shared" si="68"/>
        <v>174869.83</v>
      </c>
      <c r="AV21" s="117">
        <f t="shared" si="68"/>
        <v>92159.3</v>
      </c>
      <c r="AW21" s="117">
        <f t="shared" si="68"/>
        <v>503472.79000000004</v>
      </c>
      <c r="AX21" s="117">
        <f t="shared" ref="AX21:BN21" si="69">AX22+AX23+AX24+AX25+AX26+AX27+AX29+AX30+AX31+AX32</f>
        <v>265599.10000000003</v>
      </c>
      <c r="AY21" s="117">
        <f t="shared" si="69"/>
        <v>808550.80999999994</v>
      </c>
      <c r="AZ21" s="117">
        <f t="shared" si="69"/>
        <v>412701.69999999995</v>
      </c>
      <c r="BA21" s="117">
        <f t="shared" si="69"/>
        <v>404461.99000000005</v>
      </c>
      <c r="BB21" s="117">
        <f t="shared" si="69"/>
        <v>975404.84000000008</v>
      </c>
      <c r="BC21" s="117">
        <f t="shared" si="69"/>
        <v>363756.07</v>
      </c>
      <c r="BD21" s="117">
        <f t="shared" si="69"/>
        <v>301973.20999999996</v>
      </c>
      <c r="BE21" s="117">
        <f t="shared" si="69"/>
        <v>218785.04</v>
      </c>
      <c r="BF21" s="117">
        <f t="shared" si="69"/>
        <v>593228.83000000007</v>
      </c>
      <c r="BG21" s="117">
        <f t="shared" si="69"/>
        <v>99766.83</v>
      </c>
      <c r="BH21" s="117">
        <f t="shared" si="69"/>
        <v>224696.14</v>
      </c>
      <c r="BI21" s="117">
        <f t="shared" si="69"/>
        <v>80695.360000000001</v>
      </c>
      <c r="BJ21" s="117">
        <f t="shared" si="69"/>
        <v>66061.150000000009</v>
      </c>
      <c r="BK21" s="117">
        <f t="shared" si="69"/>
        <v>62700.61</v>
      </c>
      <c r="BL21" s="117">
        <f t="shared" si="69"/>
        <v>67618.48</v>
      </c>
      <c r="BM21" s="117">
        <f t="shared" si="69"/>
        <v>61654.969999999994</v>
      </c>
      <c r="BN21" s="117">
        <f t="shared" si="69"/>
        <v>92089.180000000008</v>
      </c>
      <c r="BO21" s="117"/>
      <c r="BP21" s="117"/>
      <c r="BQ21" s="117"/>
      <c r="BR21" s="117"/>
      <c r="BS21" s="117"/>
      <c r="BT21" s="117"/>
      <c r="BU21" s="117"/>
      <c r="BV21" s="117"/>
      <c r="BW21" s="117"/>
      <c r="BX21" s="117"/>
      <c r="BY21" s="117"/>
      <c r="BZ21" s="117"/>
      <c r="CA21" s="117"/>
      <c r="CB21" s="117"/>
      <c r="CC21" s="117"/>
      <c r="CD21" s="117"/>
      <c r="CE21" s="117"/>
      <c r="CF21" s="117"/>
      <c r="CG21" s="117"/>
      <c r="CH21" s="117"/>
      <c r="CI21" s="117"/>
      <c r="CJ21" s="117">
        <f t="shared" ref="CJ21:CL21" si="70">CJ22+CJ23+CJ24+CJ25+CJ26+CJ27+CJ29+CJ30+CJ31</f>
        <v>0</v>
      </c>
      <c r="CK21" s="117">
        <f t="shared" si="70"/>
        <v>0</v>
      </c>
      <c r="CL21" s="117">
        <f t="shared" si="70"/>
        <v>0</v>
      </c>
    </row>
    <row r="22" spans="1:90" s="121" customFormat="1" ht="13.5" customHeight="1">
      <c r="A22" s="119" t="s">
        <v>137</v>
      </c>
      <c r="B22" s="247" t="s">
        <v>146</v>
      </c>
      <c r="C22" s="253"/>
      <c r="D22" s="253"/>
      <c r="E22" s="254"/>
      <c r="F22" s="155">
        <f t="shared" si="0"/>
        <v>0</v>
      </c>
      <c r="G22" s="150"/>
      <c r="H22" s="120"/>
      <c r="I22" s="120">
        <v>0</v>
      </c>
      <c r="J22" s="120"/>
      <c r="K22" s="120"/>
      <c r="L22" s="120">
        <v>0</v>
      </c>
      <c r="M22" s="120">
        <v>0</v>
      </c>
      <c r="N22" s="120"/>
      <c r="O22" s="162" t="s">
        <v>258</v>
      </c>
      <c r="P22" s="160">
        <v>0</v>
      </c>
      <c r="Q22" s="160">
        <v>0</v>
      </c>
      <c r="R22" s="160">
        <v>0</v>
      </c>
      <c r="S22" s="160">
        <v>0</v>
      </c>
      <c r="T22" s="160">
        <v>0</v>
      </c>
      <c r="U22" s="160">
        <v>0</v>
      </c>
      <c r="V22" s="160">
        <v>0</v>
      </c>
      <c r="W22" s="160">
        <v>0</v>
      </c>
      <c r="X22" s="160">
        <v>0</v>
      </c>
      <c r="Y22" s="160">
        <v>0</v>
      </c>
      <c r="Z22" s="160">
        <v>0</v>
      </c>
      <c r="AA22" s="160">
        <v>0</v>
      </c>
      <c r="AB22" s="160">
        <v>0</v>
      </c>
      <c r="AC22" s="160">
        <v>0</v>
      </c>
      <c r="AD22" s="160">
        <v>0</v>
      </c>
      <c r="AE22" s="160">
        <v>0</v>
      </c>
      <c r="AF22" s="160">
        <v>0</v>
      </c>
      <c r="AG22" s="160">
        <v>0</v>
      </c>
      <c r="AH22" s="160">
        <v>0</v>
      </c>
      <c r="AI22" s="160">
        <v>0</v>
      </c>
      <c r="AJ22" s="160">
        <v>0</v>
      </c>
      <c r="AK22" s="160">
        <v>0</v>
      </c>
      <c r="AL22" s="160">
        <v>0</v>
      </c>
      <c r="AM22" s="160">
        <v>0</v>
      </c>
      <c r="AN22" s="160">
        <v>0</v>
      </c>
      <c r="AO22" s="120">
        <v>0</v>
      </c>
      <c r="AP22" s="120"/>
      <c r="AQ22" s="120"/>
      <c r="AR22" s="120"/>
      <c r="AS22" s="120"/>
      <c r="AT22" s="120">
        <v>0</v>
      </c>
      <c r="AU22" s="120"/>
      <c r="AV22" s="120"/>
      <c r="AW22" s="120"/>
      <c r="AX22" s="120">
        <v>0</v>
      </c>
      <c r="AY22" s="120"/>
      <c r="AZ22" s="120"/>
      <c r="BA22" s="120"/>
      <c r="BB22" s="120">
        <v>0</v>
      </c>
      <c r="BC22" s="120"/>
      <c r="BD22" s="120"/>
      <c r="BE22" s="120"/>
      <c r="BF22" s="120"/>
      <c r="BG22" s="120">
        <v>0</v>
      </c>
      <c r="BH22" s="120"/>
      <c r="BI22" s="120"/>
      <c r="BJ22" s="120">
        <v>0</v>
      </c>
      <c r="BK22" s="120">
        <v>0</v>
      </c>
      <c r="BL22" s="120">
        <v>0</v>
      </c>
      <c r="BM22" s="120">
        <v>0</v>
      </c>
      <c r="BN22" s="120">
        <v>0</v>
      </c>
      <c r="BO22" s="120"/>
      <c r="BP22" s="120"/>
      <c r="BQ22" s="120"/>
      <c r="BR22" s="120"/>
      <c r="BS22" s="120"/>
      <c r="BT22" s="120"/>
      <c r="BU22" s="120"/>
      <c r="BV22" s="120"/>
      <c r="BW22" s="120"/>
      <c r="BX22" s="120"/>
      <c r="BY22" s="120"/>
      <c r="BZ22" s="120"/>
      <c r="CA22" s="120"/>
      <c r="CB22" s="120"/>
      <c r="CC22" s="120"/>
      <c r="CD22" s="120"/>
      <c r="CE22" s="120"/>
      <c r="CF22" s="120"/>
      <c r="CG22" s="120"/>
      <c r="CH22" s="120"/>
      <c r="CI22" s="120"/>
      <c r="CJ22" s="120"/>
      <c r="CK22" s="120"/>
      <c r="CL22" s="120"/>
    </row>
    <row r="23" spans="1:90" s="121" customFormat="1" ht="12.75" customHeight="1">
      <c r="A23" s="119" t="s">
        <v>138</v>
      </c>
      <c r="B23" s="122" t="s">
        <v>254</v>
      </c>
      <c r="C23" s="122"/>
      <c r="D23" s="122"/>
      <c r="E23" s="127"/>
      <c r="F23" s="155">
        <f t="shared" si="0"/>
        <v>517359.70999999996</v>
      </c>
      <c r="G23" s="150">
        <v>12439.08</v>
      </c>
      <c r="H23" s="162">
        <v>17242.68</v>
      </c>
      <c r="I23" s="120">
        <v>2162.71</v>
      </c>
      <c r="J23" s="120">
        <v>24097.16</v>
      </c>
      <c r="K23" s="120">
        <v>1713.35</v>
      </c>
      <c r="L23" s="120">
        <v>2916.73</v>
      </c>
      <c r="M23" s="120">
        <v>13568.1</v>
      </c>
      <c r="N23" s="120">
        <v>13683.85</v>
      </c>
      <c r="O23" s="162" t="s">
        <v>258</v>
      </c>
      <c r="P23" s="160">
        <v>1906.63</v>
      </c>
      <c r="Q23" s="160">
        <v>4489.76</v>
      </c>
      <c r="R23" s="160">
        <v>4325.41</v>
      </c>
      <c r="S23" s="160">
        <v>3511.33</v>
      </c>
      <c r="T23" s="160">
        <v>5106.1899999999996</v>
      </c>
      <c r="U23" s="160">
        <v>2438.44</v>
      </c>
      <c r="V23" s="160">
        <v>1710.62</v>
      </c>
      <c r="W23" s="160">
        <v>1552.28</v>
      </c>
      <c r="X23" s="160">
        <v>3429.43</v>
      </c>
      <c r="Y23" s="160">
        <v>6839.74</v>
      </c>
      <c r="Z23" s="160">
        <v>16169.79</v>
      </c>
      <c r="AA23" s="160">
        <v>3342.07</v>
      </c>
      <c r="AB23" s="160">
        <v>18620.240000000002</v>
      </c>
      <c r="AC23" s="160">
        <v>18296.46</v>
      </c>
      <c r="AD23" s="160">
        <v>18511.580000000002</v>
      </c>
      <c r="AE23" s="160">
        <v>13855.84</v>
      </c>
      <c r="AF23" s="160">
        <v>2241.33</v>
      </c>
      <c r="AG23" s="160">
        <v>1954.68</v>
      </c>
      <c r="AH23" s="160">
        <v>2541.63</v>
      </c>
      <c r="AI23" s="160">
        <v>4101.01</v>
      </c>
      <c r="AJ23" s="160">
        <v>3474.74</v>
      </c>
      <c r="AK23" s="160">
        <v>14339.6</v>
      </c>
      <c r="AL23" s="160">
        <v>15089.8</v>
      </c>
      <c r="AM23" s="160">
        <v>5640.18</v>
      </c>
      <c r="AN23" s="160">
        <v>8369.09</v>
      </c>
      <c r="AO23" s="120">
        <v>9875.5</v>
      </c>
      <c r="AP23" s="137">
        <v>1598.14</v>
      </c>
      <c r="AQ23" s="120">
        <v>5720.44</v>
      </c>
      <c r="AR23" s="120">
        <v>10615.88</v>
      </c>
      <c r="AS23" s="120">
        <v>8359.2999999999993</v>
      </c>
      <c r="AT23" s="120">
        <v>6196.55</v>
      </c>
      <c r="AU23" s="120">
        <v>6396.39</v>
      </c>
      <c r="AV23" s="120">
        <v>3371</v>
      </c>
      <c r="AW23" s="120">
        <v>18416.03</v>
      </c>
      <c r="AX23" s="120">
        <v>8714.7099999999991</v>
      </c>
      <c r="AY23" s="120">
        <v>29575.18</v>
      </c>
      <c r="AZ23" s="120">
        <v>15095.81</v>
      </c>
      <c r="BA23" s="120">
        <v>14794.42</v>
      </c>
      <c r="BB23" s="120">
        <v>35678.370000000003</v>
      </c>
      <c r="BC23" s="120">
        <v>13305.47</v>
      </c>
      <c r="BD23" s="120">
        <v>11045.58</v>
      </c>
      <c r="BE23" s="120">
        <v>8002.72</v>
      </c>
      <c r="BF23" s="120">
        <v>21699.13</v>
      </c>
      <c r="BG23" s="120">
        <v>3206.11</v>
      </c>
      <c r="BH23" s="120">
        <v>8218.94</v>
      </c>
      <c r="BI23" s="120">
        <v>2951.68</v>
      </c>
      <c r="BJ23" s="120">
        <v>1348.62</v>
      </c>
      <c r="BK23" s="120">
        <v>0</v>
      </c>
      <c r="BL23" s="120">
        <v>1745.56</v>
      </c>
      <c r="BM23" s="120">
        <v>1746.65</v>
      </c>
      <c r="BN23" s="120">
        <v>0</v>
      </c>
      <c r="BO23" s="120"/>
      <c r="BP23" s="120"/>
      <c r="BQ23" s="120"/>
      <c r="BR23" s="120"/>
      <c r="BS23" s="120"/>
      <c r="BT23" s="120"/>
      <c r="BU23" s="120"/>
      <c r="BV23" s="120"/>
      <c r="BW23" s="120"/>
      <c r="BX23" s="120"/>
      <c r="BY23" s="120"/>
      <c r="BZ23" s="120"/>
      <c r="CA23" s="120"/>
      <c r="CB23" s="120"/>
      <c r="CC23" s="120"/>
      <c r="CD23" s="120"/>
      <c r="CE23" s="120"/>
      <c r="CF23" s="120"/>
      <c r="CG23" s="120"/>
      <c r="CH23" s="120"/>
      <c r="CI23" s="120"/>
      <c r="CJ23" s="120"/>
      <c r="CK23" s="120"/>
      <c r="CL23" s="120"/>
    </row>
    <row r="24" spans="1:90" s="121" customFormat="1" ht="12.75" customHeight="1">
      <c r="A24" s="119" t="s">
        <v>139</v>
      </c>
      <c r="B24" s="122" t="s">
        <v>246</v>
      </c>
      <c r="C24" s="122"/>
      <c r="D24" s="122"/>
      <c r="E24" s="127"/>
      <c r="F24" s="86">
        <f t="shared" si="0"/>
        <v>286774.30999999994</v>
      </c>
      <c r="G24" s="151">
        <v>6652.4</v>
      </c>
      <c r="H24" s="162">
        <v>9221.36</v>
      </c>
      <c r="I24" s="120">
        <f>1156.61+414.35</f>
        <v>1570.96</v>
      </c>
      <c r="J24" s="123">
        <v>12887.13</v>
      </c>
      <c r="K24" s="123">
        <v>916.3</v>
      </c>
      <c r="L24" s="123">
        <v>1559.86</v>
      </c>
      <c r="M24" s="123">
        <v>7256.2</v>
      </c>
      <c r="N24" s="123">
        <v>7318.1</v>
      </c>
      <c r="O24" s="123">
        <v>167.32</v>
      </c>
      <c r="P24" s="123">
        <f>1019.66+1517.7</f>
        <v>2537.36</v>
      </c>
      <c r="Q24" s="123">
        <f>2401.12+249.66</f>
        <v>2650.7799999999997</v>
      </c>
      <c r="R24" s="123">
        <f>2313.22+1164.03</f>
        <v>3477.25</v>
      </c>
      <c r="S24" s="123">
        <v>1877.85</v>
      </c>
      <c r="T24" s="123">
        <f>2730.78+956.59</f>
        <v>3687.3700000000003</v>
      </c>
      <c r="U24" s="123">
        <f>1304.07+224.84</f>
        <v>1528.9099999999999</v>
      </c>
      <c r="V24" s="123">
        <f>914.84+197.39</f>
        <v>1112.23</v>
      </c>
      <c r="W24" s="123">
        <v>830.16</v>
      </c>
      <c r="X24" s="123">
        <v>1834.05</v>
      </c>
      <c r="Y24" s="123">
        <v>3657.88</v>
      </c>
      <c r="Z24" s="123">
        <v>8647.58</v>
      </c>
      <c r="AA24" s="123">
        <v>1787.33</v>
      </c>
      <c r="AB24" s="123">
        <v>9958.08</v>
      </c>
      <c r="AC24" s="123">
        <v>9784.92</v>
      </c>
      <c r="AD24" s="123">
        <v>9899.9699999999993</v>
      </c>
      <c r="AE24" s="123">
        <v>7410.08</v>
      </c>
      <c r="AF24" s="123">
        <v>1198.6600000000001</v>
      </c>
      <c r="AG24" s="123">
        <v>1045.3599999999999</v>
      </c>
      <c r="AH24" s="123">
        <f>1359.26+546.04</f>
        <v>1905.3</v>
      </c>
      <c r="AI24" s="123">
        <v>2193.21</v>
      </c>
      <c r="AJ24" s="123">
        <v>1858.29</v>
      </c>
      <c r="AK24" s="123">
        <v>7668.8</v>
      </c>
      <c r="AL24" s="123">
        <v>8070</v>
      </c>
      <c r="AM24" s="123">
        <v>3016.36</v>
      </c>
      <c r="AN24" s="123">
        <v>4475.78</v>
      </c>
      <c r="AO24" s="123">
        <v>5281.4</v>
      </c>
      <c r="AP24" s="123">
        <f>854.68+634.81</f>
        <v>1489.4899999999998</v>
      </c>
      <c r="AQ24" s="123">
        <v>3059.28</v>
      </c>
      <c r="AR24" s="123">
        <v>5677.36</v>
      </c>
      <c r="AS24" s="123">
        <v>4489.79</v>
      </c>
      <c r="AT24" s="123">
        <v>3313.91</v>
      </c>
      <c r="AU24" s="123">
        <v>3420.78</v>
      </c>
      <c r="AV24" s="123">
        <v>1802.81</v>
      </c>
      <c r="AW24" s="123">
        <v>9848.8700000000008</v>
      </c>
      <c r="AX24" s="123">
        <f>4660.61+558.3</f>
        <v>5218.91</v>
      </c>
      <c r="AY24" s="123">
        <v>15816.76</v>
      </c>
      <c r="AZ24" s="123">
        <v>8073.22</v>
      </c>
      <c r="BA24" s="123">
        <v>7912.03</v>
      </c>
      <c r="BB24" s="123">
        <v>19080.740000000002</v>
      </c>
      <c r="BC24" s="123">
        <v>7115.75</v>
      </c>
      <c r="BD24" s="123">
        <v>5907.16</v>
      </c>
      <c r="BE24" s="123">
        <v>4279.84</v>
      </c>
      <c r="BF24" s="123">
        <v>11604.66</v>
      </c>
      <c r="BG24" s="123">
        <f>1714.62+247.32</f>
        <v>1961.9399999999998</v>
      </c>
      <c r="BH24" s="123">
        <v>4395.4799999999996</v>
      </c>
      <c r="BI24" s="123">
        <v>1578.55</v>
      </c>
      <c r="BJ24" s="137">
        <f>721.24+592.97</f>
        <v>1314.21</v>
      </c>
      <c r="BK24" s="123">
        <v>30.66</v>
      </c>
      <c r="BL24" s="123">
        <f>933.52+406.17</f>
        <v>1339.69</v>
      </c>
      <c r="BM24" s="123">
        <f>934.11+283.82</f>
        <v>1217.93</v>
      </c>
      <c r="BN24" s="123">
        <f>1755.8+124.1</f>
        <v>1879.8999999999999</v>
      </c>
      <c r="BO24" s="123"/>
      <c r="BP24" s="123"/>
      <c r="BQ24" s="123"/>
      <c r="BR24" s="123"/>
      <c r="BS24" s="123"/>
      <c r="BT24" s="123"/>
      <c r="BU24" s="123"/>
      <c r="BV24" s="123"/>
      <c r="BW24" s="123"/>
      <c r="BX24" s="123"/>
      <c r="BY24" s="123"/>
      <c r="BZ24" s="123"/>
      <c r="CA24" s="123"/>
      <c r="CB24" s="123"/>
      <c r="CC24" s="123"/>
      <c r="CD24" s="123"/>
      <c r="CE24" s="123"/>
      <c r="CF24" s="123"/>
      <c r="CG24" s="123"/>
      <c r="CH24" s="123"/>
      <c r="CI24" s="123"/>
      <c r="CJ24" s="123"/>
      <c r="CK24" s="123"/>
      <c r="CL24" s="123"/>
    </row>
    <row r="25" spans="1:90" s="121" customFormat="1" ht="12.75" customHeight="1">
      <c r="A25" s="119" t="s">
        <v>140</v>
      </c>
      <c r="B25" s="122" t="s">
        <v>147</v>
      </c>
      <c r="C25" s="122"/>
      <c r="D25" s="122"/>
      <c r="E25" s="129"/>
      <c r="F25" s="155">
        <f t="shared" si="0"/>
        <v>72974.200000000012</v>
      </c>
      <c r="G25" s="150">
        <v>1754.23</v>
      </c>
      <c r="H25" s="120">
        <v>2431.66</v>
      </c>
      <c r="I25" s="120">
        <v>305</v>
      </c>
      <c r="J25" s="120">
        <v>3398.32</v>
      </c>
      <c r="K25" s="120">
        <v>241.63</v>
      </c>
      <c r="L25" s="120">
        <v>411.33</v>
      </c>
      <c r="M25" s="120">
        <v>1913.45</v>
      </c>
      <c r="N25" s="120">
        <v>1929.77</v>
      </c>
      <c r="O25" s="120">
        <v>44.12</v>
      </c>
      <c r="P25" s="160">
        <v>268.88</v>
      </c>
      <c r="Q25" s="160">
        <v>633.16999999999996</v>
      </c>
      <c r="R25" s="160">
        <v>609.99</v>
      </c>
      <c r="S25" s="160">
        <v>495.19</v>
      </c>
      <c r="T25" s="160">
        <v>720.1</v>
      </c>
      <c r="U25" s="160">
        <v>343.88</v>
      </c>
      <c r="V25" s="160">
        <v>241.24</v>
      </c>
      <c r="W25" s="160">
        <v>218.91</v>
      </c>
      <c r="X25" s="160">
        <v>483.64</v>
      </c>
      <c r="Y25" s="160">
        <v>964.58</v>
      </c>
      <c r="Z25" s="160">
        <v>2280.36</v>
      </c>
      <c r="AA25" s="160">
        <v>471.32</v>
      </c>
      <c r="AB25" s="160">
        <v>2625.93</v>
      </c>
      <c r="AC25" s="160">
        <v>2580.27</v>
      </c>
      <c r="AD25" s="160">
        <v>2610.61</v>
      </c>
      <c r="AE25" s="160">
        <v>1954.03</v>
      </c>
      <c r="AF25" s="160">
        <v>316.08999999999997</v>
      </c>
      <c r="AG25" s="160">
        <v>275.66000000000003</v>
      </c>
      <c r="AH25" s="160">
        <v>358.44</v>
      </c>
      <c r="AI25" s="160">
        <v>578.35</v>
      </c>
      <c r="AJ25" s="160">
        <v>490.03</v>
      </c>
      <c r="AK25" s="160">
        <v>2022.25</v>
      </c>
      <c r="AL25" s="160">
        <v>2128.0500000000002</v>
      </c>
      <c r="AM25" s="160">
        <v>795.41</v>
      </c>
      <c r="AN25" s="160">
        <v>1180.26</v>
      </c>
      <c r="AO25" s="120">
        <v>1392.7</v>
      </c>
      <c r="AP25" s="120">
        <v>225.38</v>
      </c>
      <c r="AQ25" s="120">
        <v>806.73</v>
      </c>
      <c r="AR25" s="120">
        <v>1497.11</v>
      </c>
      <c r="AS25" s="120">
        <v>1183.95</v>
      </c>
      <c r="AT25" s="120">
        <v>837.87</v>
      </c>
      <c r="AU25" s="120">
        <v>902.06</v>
      </c>
      <c r="AV25" s="120">
        <v>475.4</v>
      </c>
      <c r="AW25" s="120">
        <v>2597.13</v>
      </c>
      <c r="AX25" s="120">
        <v>1229</v>
      </c>
      <c r="AY25" s="120">
        <v>4170.8599999999997</v>
      </c>
      <c r="AZ25" s="120">
        <v>2128.9</v>
      </c>
      <c r="BA25" s="120">
        <v>2086.39</v>
      </c>
      <c r="BB25" s="120">
        <v>5031.57</v>
      </c>
      <c r="BC25" s="120">
        <v>1876.41</v>
      </c>
      <c r="BD25" s="120">
        <v>1557.71</v>
      </c>
      <c r="BE25" s="120">
        <v>1128.5899999999999</v>
      </c>
      <c r="BF25" s="120">
        <v>3060.13</v>
      </c>
      <c r="BG25" s="120">
        <v>452.14</v>
      </c>
      <c r="BH25" s="120">
        <v>1159.08</v>
      </c>
      <c r="BI25" s="120">
        <v>416.26</v>
      </c>
      <c r="BJ25" s="120">
        <v>190.19</v>
      </c>
      <c r="BK25" s="120">
        <v>0</v>
      </c>
      <c r="BL25" s="120">
        <v>246.17</v>
      </c>
      <c r="BM25" s="120">
        <v>246.32</v>
      </c>
      <c r="BN25" s="123">
        <v>0</v>
      </c>
      <c r="BO25" s="123"/>
      <c r="BP25" s="123"/>
      <c r="BQ25" s="123"/>
      <c r="BR25" s="123"/>
      <c r="BS25" s="123"/>
      <c r="BT25" s="123"/>
      <c r="BU25" s="123"/>
      <c r="BV25" s="123"/>
      <c r="BW25" s="123"/>
      <c r="BX25" s="123"/>
      <c r="BY25" s="123"/>
      <c r="BZ25" s="123"/>
      <c r="CA25" s="123"/>
      <c r="CB25" s="123"/>
      <c r="CC25" s="123"/>
      <c r="CD25" s="123"/>
      <c r="CE25" s="123"/>
      <c r="CF25" s="123"/>
      <c r="CG25" s="123"/>
      <c r="CH25" s="123"/>
      <c r="CI25" s="123"/>
      <c r="CJ25" s="123"/>
      <c r="CK25" s="123"/>
      <c r="CL25" s="123"/>
    </row>
    <row r="26" spans="1:90" s="121" customFormat="1" ht="12.75" customHeight="1">
      <c r="A26" s="119" t="s">
        <v>141</v>
      </c>
      <c r="B26" s="122" t="s">
        <v>148</v>
      </c>
      <c r="C26" s="122"/>
      <c r="D26" s="122"/>
      <c r="E26" s="127"/>
      <c r="F26" s="155">
        <f t="shared" si="0"/>
        <v>1275774.97</v>
      </c>
      <c r="G26" s="151">
        <v>29457.38</v>
      </c>
      <c r="H26" s="120">
        <v>40832.94</v>
      </c>
      <c r="I26" s="120">
        <f>5121.57+1834.77</f>
        <v>6956.34</v>
      </c>
      <c r="J26" s="123">
        <v>57065.26</v>
      </c>
      <c r="K26" s="123">
        <v>4057.43</v>
      </c>
      <c r="L26" s="123">
        <v>6907.21</v>
      </c>
      <c r="M26" s="123">
        <v>32131.05</v>
      </c>
      <c r="N26" s="123">
        <v>32405.17</v>
      </c>
      <c r="O26" s="123">
        <v>740.89</v>
      </c>
      <c r="P26" s="123">
        <f>4515.16+6720.5</f>
        <v>11235.66</v>
      </c>
      <c r="Q26" s="123">
        <f>10632.34+1105.52</f>
        <v>11737.86</v>
      </c>
      <c r="R26" s="123">
        <f>10243.15+5154.42</f>
        <v>15397.57</v>
      </c>
      <c r="S26" s="123">
        <v>8315.2800000000007</v>
      </c>
      <c r="T26" s="123">
        <f>12092.14+4235.87</f>
        <v>16328.009999999998</v>
      </c>
      <c r="U26" s="123">
        <f>5774.54+995.61</f>
        <v>6770.15</v>
      </c>
      <c r="V26" s="123">
        <f>4050.97+874.07</f>
        <v>4925.04</v>
      </c>
      <c r="W26" s="123">
        <v>3676</v>
      </c>
      <c r="X26" s="123">
        <v>8121.33</v>
      </c>
      <c r="Y26" s="123">
        <v>16197.41</v>
      </c>
      <c r="Z26" s="123">
        <v>38292.199999999997</v>
      </c>
      <c r="AA26" s="123">
        <v>7914.45</v>
      </c>
      <c r="AB26" s="123">
        <v>44095.18</v>
      </c>
      <c r="AC26" s="123">
        <v>43328.43</v>
      </c>
      <c r="AD26" s="160">
        <v>43837.87</v>
      </c>
      <c r="AE26" s="123">
        <v>32812.46</v>
      </c>
      <c r="AF26" s="161">
        <v>5307.77</v>
      </c>
      <c r="AG26" s="123">
        <v>4628.9399999999996</v>
      </c>
      <c r="AH26" s="123">
        <f>6018.92+2417.91</f>
        <v>8436.83</v>
      </c>
      <c r="AI26" s="123">
        <v>9711.7199999999993</v>
      </c>
      <c r="AJ26" s="123">
        <v>8228.65</v>
      </c>
      <c r="AK26" s="123">
        <v>33958.06</v>
      </c>
      <c r="AL26" s="123">
        <v>35734.639999999999</v>
      </c>
      <c r="AM26" s="123">
        <v>13356.69</v>
      </c>
      <c r="AN26" s="123">
        <v>19819.099999999999</v>
      </c>
      <c r="AO26" s="123">
        <v>23386.49</v>
      </c>
      <c r="AP26" s="123">
        <f>3784.61+2810.98</f>
        <v>6595.59</v>
      </c>
      <c r="AQ26" s="123">
        <v>13546.76</v>
      </c>
      <c r="AR26" s="123">
        <v>25139.8</v>
      </c>
      <c r="AS26" s="123">
        <v>19881.169999999998</v>
      </c>
      <c r="AT26" s="123">
        <v>14674.26</v>
      </c>
      <c r="AU26" s="123">
        <v>15147.5</v>
      </c>
      <c r="AV26" s="123">
        <v>7982.98</v>
      </c>
      <c r="AW26" s="123">
        <v>43611.6</v>
      </c>
      <c r="AX26" s="123">
        <f>20637.57+2472.22</f>
        <v>23109.79</v>
      </c>
      <c r="AY26" s="123">
        <v>70037.929999999993</v>
      </c>
      <c r="AZ26" s="123">
        <v>35748.86</v>
      </c>
      <c r="BA26" s="123">
        <v>35035.129999999997</v>
      </c>
      <c r="BB26" s="123">
        <v>84491.09</v>
      </c>
      <c r="BC26" s="123">
        <v>31509.119999999999</v>
      </c>
      <c r="BD26" s="123">
        <v>26157.39</v>
      </c>
      <c r="BE26" s="123">
        <v>18951.5</v>
      </c>
      <c r="BF26" s="123">
        <v>51386.41</v>
      </c>
      <c r="BG26" s="123">
        <f>7592.5+1095.17</f>
        <v>8687.67</v>
      </c>
      <c r="BH26" s="123">
        <v>19463.53</v>
      </c>
      <c r="BI26" s="123">
        <v>6989.96</v>
      </c>
      <c r="BJ26" s="123">
        <f>3193.71+2639.01</f>
        <v>5832.72</v>
      </c>
      <c r="BK26" s="137">
        <f>5901.25+135.77</f>
        <v>6037.02</v>
      </c>
      <c r="BL26" s="123">
        <f>4133.72+1798.56</f>
        <v>5932.2800000000007</v>
      </c>
      <c r="BM26" s="123">
        <f>4136.31+1256.8</f>
        <v>5393.1100000000006</v>
      </c>
      <c r="BN26" s="123">
        <f>7774.81+549.53</f>
        <v>8324.34</v>
      </c>
      <c r="BO26" s="123"/>
      <c r="BP26" s="123"/>
      <c r="BQ26" s="123"/>
      <c r="BR26" s="123"/>
      <c r="BS26" s="123"/>
      <c r="BT26" s="123"/>
      <c r="BU26" s="123"/>
      <c r="BV26" s="123"/>
      <c r="BW26" s="123"/>
      <c r="BX26" s="123"/>
      <c r="BY26" s="123"/>
      <c r="BZ26" s="123"/>
      <c r="CA26" s="123"/>
      <c r="CB26" s="123"/>
      <c r="CC26" s="123"/>
      <c r="CD26" s="123"/>
      <c r="CE26" s="123"/>
      <c r="CF26" s="123"/>
      <c r="CG26" s="123"/>
      <c r="CH26" s="123"/>
      <c r="CI26" s="123"/>
      <c r="CJ26" s="123"/>
      <c r="CK26" s="123"/>
      <c r="CL26" s="123"/>
    </row>
    <row r="27" spans="1:90" s="121" customFormat="1" ht="12.75" customHeight="1">
      <c r="A27" s="256" t="s">
        <v>142</v>
      </c>
      <c r="B27" s="247" t="s">
        <v>149</v>
      </c>
      <c r="C27" s="247"/>
      <c r="D27" s="247"/>
      <c r="E27" s="248"/>
      <c r="F27" s="251">
        <f t="shared" si="0"/>
        <v>660690.47999999963</v>
      </c>
      <c r="G27" s="234">
        <v>15264.07</v>
      </c>
      <c r="H27" s="235">
        <v>21158.6</v>
      </c>
      <c r="I27" s="233">
        <f>2653.87+950.73</f>
        <v>3604.6</v>
      </c>
      <c r="J27" s="233">
        <v>29569.78</v>
      </c>
      <c r="K27" s="233">
        <v>2102.46</v>
      </c>
      <c r="L27" s="233">
        <v>3579.14</v>
      </c>
      <c r="M27" s="233">
        <v>16649.5</v>
      </c>
      <c r="N27" s="233">
        <v>16791.54</v>
      </c>
      <c r="O27" s="236" t="s">
        <v>258</v>
      </c>
      <c r="P27" s="261">
        <f>2339.64+3482.39</f>
        <v>5822.03</v>
      </c>
      <c r="Q27" s="261">
        <f>5509.41+572.85</f>
        <v>6082.26</v>
      </c>
      <c r="R27" s="261">
        <f>5307.74+2670.89</f>
        <v>7978.6299999999992</v>
      </c>
      <c r="S27" s="261">
        <v>4308.7700000000004</v>
      </c>
      <c r="T27" s="261">
        <f>6265.84+2194.92</f>
        <v>8460.76</v>
      </c>
      <c r="U27" s="263">
        <f>2992.22+515.9</f>
        <v>3508.12</v>
      </c>
      <c r="V27" s="263">
        <f>2099.11+452.92</f>
        <v>2552.0300000000002</v>
      </c>
      <c r="W27" s="261">
        <v>1904.81</v>
      </c>
      <c r="X27" s="263">
        <v>4208.2700000000004</v>
      </c>
      <c r="Y27" s="261">
        <v>8393.09</v>
      </c>
      <c r="Z27" s="263">
        <v>19842.05</v>
      </c>
      <c r="AA27" s="261">
        <v>4101.07</v>
      </c>
      <c r="AB27" s="261">
        <v>22849.01</v>
      </c>
      <c r="AC27" s="261">
        <v>22451.7</v>
      </c>
      <c r="AD27" s="263">
        <v>22715.68</v>
      </c>
      <c r="AE27" s="261">
        <v>17002.59</v>
      </c>
      <c r="AF27" s="263">
        <v>2750.35</v>
      </c>
      <c r="AG27" s="261">
        <v>2398.6</v>
      </c>
      <c r="AH27" s="261">
        <f>3118.85+1252.9</f>
        <v>4371.75</v>
      </c>
      <c r="AI27" s="261">
        <v>5032.37</v>
      </c>
      <c r="AJ27" s="261">
        <v>4263.88</v>
      </c>
      <c r="AK27" s="261">
        <v>17596.21</v>
      </c>
      <c r="AL27" s="261">
        <v>18516.79</v>
      </c>
      <c r="AM27" s="261">
        <v>6921.1</v>
      </c>
      <c r="AN27" s="261">
        <v>10269.76</v>
      </c>
      <c r="AO27" s="233">
        <v>12118.29</v>
      </c>
      <c r="AP27" s="233">
        <f>1961.09+1456.58</f>
        <v>3417.67</v>
      </c>
      <c r="AQ27" s="233">
        <v>7019.59</v>
      </c>
      <c r="AR27" s="233">
        <v>13026.81</v>
      </c>
      <c r="AS27" s="233">
        <v>10301.92</v>
      </c>
      <c r="AT27" s="233">
        <v>7603.83</v>
      </c>
      <c r="AU27" s="233">
        <v>7849.05</v>
      </c>
      <c r="AV27" s="233">
        <v>4136.58</v>
      </c>
      <c r="AW27" s="233">
        <v>22598.43</v>
      </c>
      <c r="AX27" s="233">
        <f>10693.87+1281.04</f>
        <v>11974.91</v>
      </c>
      <c r="AY27" s="233">
        <v>36291.89</v>
      </c>
      <c r="AZ27" s="233">
        <v>18524.16</v>
      </c>
      <c r="BA27" s="233">
        <v>18154.32</v>
      </c>
      <c r="BB27" s="233">
        <v>43781.15</v>
      </c>
      <c r="BC27" s="233">
        <v>16327.23</v>
      </c>
      <c r="BD27" s="233">
        <v>13554.1</v>
      </c>
      <c r="BE27" s="233">
        <v>9820.19</v>
      </c>
      <c r="BF27" s="233">
        <v>26627.14</v>
      </c>
      <c r="BG27" s="233">
        <f>3934.24+567.49</f>
        <v>4501.7299999999996</v>
      </c>
      <c r="BH27" s="233">
        <v>10085.51</v>
      </c>
      <c r="BI27" s="233">
        <v>3622.02</v>
      </c>
      <c r="BJ27" s="233">
        <f>1654.9+1367.47</f>
        <v>3022.37</v>
      </c>
      <c r="BK27" s="233">
        <f>3057.88+70.35</f>
        <v>3128.23</v>
      </c>
      <c r="BL27" s="233">
        <f>2141.99+931.97</f>
        <v>3073.96</v>
      </c>
      <c r="BM27" s="236">
        <f>2143.33+651.24</f>
        <v>2794.5699999999997</v>
      </c>
      <c r="BN27" s="233">
        <f>4028.71+284.75</f>
        <v>4313.46</v>
      </c>
      <c r="BO27" s="233"/>
      <c r="BP27" s="233"/>
      <c r="BQ27" s="233"/>
      <c r="BR27" s="233"/>
      <c r="BS27" s="233"/>
      <c r="BT27" s="233"/>
      <c r="BU27" s="233"/>
      <c r="BV27" s="233"/>
      <c r="BW27" s="233"/>
      <c r="BX27" s="265"/>
      <c r="BY27" s="233"/>
      <c r="BZ27" s="233"/>
      <c r="CA27" s="233"/>
      <c r="CB27" s="233"/>
      <c r="CC27" s="233"/>
      <c r="CD27" s="233"/>
      <c r="CE27" s="233"/>
      <c r="CF27" s="233"/>
      <c r="CG27" s="233"/>
      <c r="CH27" s="265"/>
      <c r="CI27" s="233"/>
      <c r="CJ27" s="233"/>
      <c r="CK27" s="233"/>
      <c r="CL27" s="233"/>
    </row>
    <row r="28" spans="1:90" s="121" customFormat="1" ht="12.75" customHeight="1">
      <c r="A28" s="253"/>
      <c r="B28" s="247"/>
      <c r="C28" s="247"/>
      <c r="D28" s="247"/>
      <c r="E28" s="248"/>
      <c r="F28" s="252"/>
      <c r="G28" s="234"/>
      <c r="H28" s="235"/>
      <c r="I28" s="233"/>
      <c r="J28" s="233"/>
      <c r="K28" s="233"/>
      <c r="L28" s="233"/>
      <c r="M28" s="233"/>
      <c r="N28" s="233"/>
      <c r="O28" s="233"/>
      <c r="P28" s="262"/>
      <c r="Q28" s="262"/>
      <c r="R28" s="262"/>
      <c r="S28" s="262"/>
      <c r="T28" s="262"/>
      <c r="U28" s="264"/>
      <c r="V28" s="264"/>
      <c r="W28" s="262"/>
      <c r="X28" s="264"/>
      <c r="Y28" s="262"/>
      <c r="Z28" s="264"/>
      <c r="AA28" s="262"/>
      <c r="AB28" s="262"/>
      <c r="AC28" s="262"/>
      <c r="AD28" s="264"/>
      <c r="AE28" s="262"/>
      <c r="AF28" s="264"/>
      <c r="AG28" s="262"/>
      <c r="AH28" s="262"/>
      <c r="AI28" s="262"/>
      <c r="AJ28" s="262"/>
      <c r="AK28" s="262"/>
      <c r="AL28" s="262"/>
      <c r="AM28" s="262"/>
      <c r="AN28" s="262"/>
      <c r="AO28" s="233"/>
      <c r="AP28" s="233"/>
      <c r="AQ28" s="233"/>
      <c r="AR28" s="233"/>
      <c r="AS28" s="233"/>
      <c r="AT28" s="233"/>
      <c r="AU28" s="233"/>
      <c r="AV28" s="233"/>
      <c r="AW28" s="233"/>
      <c r="AX28" s="233"/>
      <c r="AY28" s="233"/>
      <c r="AZ28" s="233"/>
      <c r="BA28" s="233"/>
      <c r="BB28" s="233"/>
      <c r="BC28" s="233"/>
      <c r="BD28" s="233"/>
      <c r="BE28" s="233"/>
      <c r="BF28" s="233"/>
      <c r="BG28" s="233"/>
      <c r="BH28" s="233"/>
      <c r="BI28" s="233"/>
      <c r="BJ28" s="233"/>
      <c r="BK28" s="233"/>
      <c r="BL28" s="233"/>
      <c r="BM28" s="233"/>
      <c r="BN28" s="233"/>
      <c r="BO28" s="233"/>
      <c r="BP28" s="233"/>
      <c r="BQ28" s="233"/>
      <c r="BR28" s="233"/>
      <c r="BS28" s="233"/>
      <c r="BT28" s="233"/>
      <c r="BU28" s="233"/>
      <c r="BV28" s="233"/>
      <c r="BW28" s="233"/>
      <c r="BX28" s="265"/>
      <c r="BY28" s="233"/>
      <c r="BZ28" s="233"/>
      <c r="CA28" s="233"/>
      <c r="CB28" s="233"/>
      <c r="CC28" s="233"/>
      <c r="CD28" s="233"/>
      <c r="CE28" s="233"/>
      <c r="CF28" s="233"/>
      <c r="CG28" s="233"/>
      <c r="CH28" s="265"/>
      <c r="CI28" s="233"/>
      <c r="CJ28" s="233"/>
      <c r="CK28" s="233"/>
      <c r="CL28" s="233"/>
    </row>
    <row r="29" spans="1:90" s="121" customFormat="1" ht="12.75" customHeight="1">
      <c r="A29" s="119" t="s">
        <v>143</v>
      </c>
      <c r="B29" s="122" t="s">
        <v>150</v>
      </c>
      <c r="C29" s="122"/>
      <c r="D29" s="122"/>
      <c r="E29" s="126" t="e">
        <f>F27/#REF!</f>
        <v>#REF!</v>
      </c>
      <c r="F29" s="155">
        <f>SUM(G29:CL29)</f>
        <v>318159.99</v>
      </c>
      <c r="G29" s="151">
        <v>7381.43</v>
      </c>
      <c r="H29" s="120">
        <v>10231.92</v>
      </c>
      <c r="I29" s="120">
        <f>1283.36+459.76</f>
        <v>1743.12</v>
      </c>
      <c r="J29" s="123">
        <v>14299.42</v>
      </c>
      <c r="K29" s="123">
        <v>1016.71</v>
      </c>
      <c r="L29" s="123">
        <v>1730.81</v>
      </c>
      <c r="M29" s="123">
        <v>8051.4</v>
      </c>
      <c r="N29" s="123">
        <v>8120.09</v>
      </c>
      <c r="O29" s="123">
        <v>185.65</v>
      </c>
      <c r="P29" s="123">
        <f>1131.41+1684.02</f>
        <v>2815.4300000000003</v>
      </c>
      <c r="Q29" s="123">
        <f>2664.25+277.02</f>
        <v>2941.27</v>
      </c>
      <c r="R29" s="123">
        <f>2566.73+1291.59</f>
        <v>3858.3199999999997</v>
      </c>
      <c r="S29" s="123">
        <v>2083.64</v>
      </c>
      <c r="T29" s="123">
        <f>3030.05+1061.42</f>
        <v>4091.4700000000003</v>
      </c>
      <c r="U29" s="123">
        <f>1446.98+249.48</f>
        <v>1696.46</v>
      </c>
      <c r="V29" s="123">
        <f>1015.09+219.02</f>
        <v>1234.1100000000001</v>
      </c>
      <c r="W29" s="123">
        <v>921.13</v>
      </c>
      <c r="X29" s="123">
        <v>2035.04</v>
      </c>
      <c r="Y29" s="123">
        <v>4058.75</v>
      </c>
      <c r="Z29" s="123">
        <v>9595.26</v>
      </c>
      <c r="AA29" s="123">
        <v>1983.2</v>
      </c>
      <c r="AB29" s="123">
        <v>11049.37</v>
      </c>
      <c r="AC29" s="123">
        <v>10857.24</v>
      </c>
      <c r="AD29" s="123">
        <v>10984.9</v>
      </c>
      <c r="AE29" s="123">
        <v>8222.15</v>
      </c>
      <c r="AF29" s="123">
        <v>1330.02</v>
      </c>
      <c r="AG29" s="123">
        <v>1159.92</v>
      </c>
      <c r="AH29" s="123">
        <f>1508.22+605.88</f>
        <v>2114.1</v>
      </c>
      <c r="AI29" s="123">
        <v>2433.56</v>
      </c>
      <c r="AJ29" s="123">
        <v>2061.94</v>
      </c>
      <c r="AK29" s="123">
        <v>8509.2099999999991</v>
      </c>
      <c r="AL29" s="123">
        <v>8954.39</v>
      </c>
      <c r="AM29" s="123">
        <v>3346.92</v>
      </c>
      <c r="AN29" s="123">
        <v>4966.2700000000004</v>
      </c>
      <c r="AO29" s="123">
        <v>5860.19</v>
      </c>
      <c r="AP29" s="123">
        <f>948.35+704.38</f>
        <v>1652.73</v>
      </c>
      <c r="AQ29" s="123">
        <v>3349.55</v>
      </c>
      <c r="AR29" s="123">
        <v>6299.53</v>
      </c>
      <c r="AS29" s="123">
        <v>4981.82</v>
      </c>
      <c r="AT29" s="123">
        <v>3677.08</v>
      </c>
      <c r="AU29" s="123">
        <v>3795.66</v>
      </c>
      <c r="AV29" s="123">
        <v>2000.38</v>
      </c>
      <c r="AW29" s="123">
        <v>10928.2</v>
      </c>
      <c r="AX29" s="123">
        <f>5171.36+619.49</f>
        <v>5790.8499999999995</v>
      </c>
      <c r="AY29" s="123">
        <v>17550.11</v>
      </c>
      <c r="AZ29" s="123">
        <v>8957.9500000000007</v>
      </c>
      <c r="BA29" s="123">
        <v>8779.1</v>
      </c>
      <c r="BB29" s="123">
        <v>21171.78</v>
      </c>
      <c r="BC29" s="123">
        <v>7895.56</v>
      </c>
      <c r="BD29" s="123">
        <v>6554.52</v>
      </c>
      <c r="BE29" s="123">
        <v>4748.87</v>
      </c>
      <c r="BF29" s="123">
        <v>12876.41</v>
      </c>
      <c r="BG29" s="123">
        <f>1902.53+274.43</f>
        <v>2176.96</v>
      </c>
      <c r="BH29" s="123">
        <v>4877.17</v>
      </c>
      <c r="BI29" s="123">
        <v>1751.54</v>
      </c>
      <c r="BJ29" s="123">
        <f>800.28+661.28</f>
        <v>1461.56</v>
      </c>
      <c r="BK29" s="123">
        <v>34.020000000000003</v>
      </c>
      <c r="BL29" s="123">
        <f>1035.83+450.68</f>
        <v>1486.51</v>
      </c>
      <c r="BM29" s="123">
        <f>1036.48+314.93</f>
        <v>1351.41</v>
      </c>
      <c r="BN29" s="123">
        <f>1948.21+137.7</f>
        <v>2085.91</v>
      </c>
      <c r="BO29" s="123"/>
      <c r="BP29" s="123"/>
      <c r="BQ29" s="123"/>
      <c r="BR29" s="123"/>
      <c r="BS29" s="123"/>
      <c r="BT29" s="123"/>
      <c r="BU29" s="123"/>
      <c r="BV29" s="123"/>
      <c r="BW29" s="123"/>
      <c r="BX29" s="123"/>
      <c r="BY29" s="123"/>
      <c r="BZ29" s="123"/>
      <c r="CA29" s="123"/>
      <c r="CB29" s="123"/>
      <c r="CC29" s="123"/>
      <c r="CD29" s="123"/>
      <c r="CE29" s="123"/>
      <c r="CF29" s="123"/>
      <c r="CG29" s="123"/>
      <c r="CH29" s="123"/>
      <c r="CI29" s="123"/>
      <c r="CJ29" s="123"/>
      <c r="CK29" s="123"/>
      <c r="CL29" s="123"/>
    </row>
    <row r="30" spans="1:90" s="121" customFormat="1" ht="12.75" customHeight="1">
      <c r="A30" s="119" t="s">
        <v>144</v>
      </c>
      <c r="B30" s="122" t="s">
        <v>151</v>
      </c>
      <c r="C30" s="122"/>
      <c r="D30" s="122"/>
      <c r="E30" s="127"/>
      <c r="F30" s="155">
        <f>SUM(G30:CL30)</f>
        <v>1135666.6399999997</v>
      </c>
      <c r="G30" s="151">
        <v>26222.31</v>
      </c>
      <c r="H30" s="120">
        <v>36348.58</v>
      </c>
      <c r="I30" s="120">
        <f>4559.11+1633.27</f>
        <v>6192.3799999999992</v>
      </c>
      <c r="J30" s="123">
        <v>50798.23</v>
      </c>
      <c r="K30" s="123">
        <v>3611.84</v>
      </c>
      <c r="L30" s="123">
        <v>6148.64</v>
      </c>
      <c r="M30" s="123">
        <v>28602.35</v>
      </c>
      <c r="N30" s="123">
        <v>28846.36</v>
      </c>
      <c r="O30" s="123">
        <v>659.52</v>
      </c>
      <c r="P30" s="123">
        <f>4019.29+5982.44</f>
        <v>10001.73</v>
      </c>
      <c r="Q30" s="123">
        <f>9464.67+984.11</f>
        <v>10448.780000000001</v>
      </c>
      <c r="R30" s="123">
        <f>9118.22+4588.35</f>
        <v>13706.57</v>
      </c>
      <c r="S30" s="123">
        <v>7402.08</v>
      </c>
      <c r="T30" s="123">
        <f>10764.15+3770.68</f>
        <v>14534.83</v>
      </c>
      <c r="U30" s="123">
        <f>5140.37+886.27</f>
        <v>6026.6399999999994</v>
      </c>
      <c r="V30" s="123">
        <f>3606.08+778.08</f>
        <v>4384.16</v>
      </c>
      <c r="W30" s="123">
        <v>3272.29</v>
      </c>
      <c r="X30" s="123">
        <v>7229.43</v>
      </c>
      <c r="Y30" s="123">
        <v>14418.58</v>
      </c>
      <c r="Z30" s="123">
        <v>34086.870000000003</v>
      </c>
      <c r="AA30" s="123">
        <v>7045.27</v>
      </c>
      <c r="AB30" s="123">
        <v>39252.550000000003</v>
      </c>
      <c r="AC30" s="123">
        <v>38570.01</v>
      </c>
      <c r="AD30" s="123">
        <v>39023.5</v>
      </c>
      <c r="AE30" s="123">
        <v>29208.93</v>
      </c>
      <c r="AF30" s="123">
        <v>4724.8599999999997</v>
      </c>
      <c r="AG30" s="123">
        <v>4120.58</v>
      </c>
      <c r="AH30" s="123">
        <f>5357.91+2152.37</f>
        <v>7510.28</v>
      </c>
      <c r="AI30" s="123">
        <v>8645.16</v>
      </c>
      <c r="AJ30" s="123">
        <v>7324.96</v>
      </c>
      <c r="AK30" s="123">
        <v>30228.71</v>
      </c>
      <c r="AL30" s="123">
        <v>31810.19</v>
      </c>
      <c r="AM30" s="123">
        <v>11889.83</v>
      </c>
      <c r="AN30" s="123">
        <v>17642.53</v>
      </c>
      <c r="AO30" s="123">
        <v>20818.14</v>
      </c>
      <c r="AP30" s="123">
        <f>3368.98+2502.27</f>
        <v>5871.25</v>
      </c>
      <c r="AQ30" s="123">
        <v>12059.03</v>
      </c>
      <c r="AR30" s="123">
        <v>22378.89</v>
      </c>
      <c r="AS30" s="123">
        <v>17697.78</v>
      </c>
      <c r="AT30" s="123">
        <v>13062.7</v>
      </c>
      <c r="AU30" s="123">
        <v>13483.97</v>
      </c>
      <c r="AV30" s="123">
        <v>7106.27</v>
      </c>
      <c r="AW30" s="123">
        <v>38822.080000000002</v>
      </c>
      <c r="AX30" s="123">
        <f>18371.11+2200.71</f>
        <v>20571.82</v>
      </c>
      <c r="AY30" s="123">
        <v>62346.22</v>
      </c>
      <c r="AZ30" s="123">
        <v>31822.85</v>
      </c>
      <c r="BA30" s="123">
        <v>31187.5</v>
      </c>
      <c r="BB30" s="123">
        <v>75212.100000000006</v>
      </c>
      <c r="BC30" s="123">
        <v>28048.720000000001</v>
      </c>
      <c r="BD30" s="123">
        <v>23284.73</v>
      </c>
      <c r="BE30" s="123">
        <v>16870.21</v>
      </c>
      <c r="BF30" s="123">
        <v>45743.040000000001</v>
      </c>
      <c r="BG30" s="123">
        <f>6758.67+974.9</f>
        <v>7733.57</v>
      </c>
      <c r="BH30" s="123">
        <v>17326</v>
      </c>
      <c r="BI30" s="123">
        <v>6222.31</v>
      </c>
      <c r="BJ30" s="123">
        <f>2842.97+2349.19</f>
        <v>5192.16</v>
      </c>
      <c r="BK30" s="123">
        <f>5253.16+120.86</f>
        <v>5374.0199999999995</v>
      </c>
      <c r="BL30" s="123">
        <f>3679.75+1601.04</f>
        <v>5280.79</v>
      </c>
      <c r="BM30" s="123">
        <f>3682.05+1118.77</f>
        <v>4800.82</v>
      </c>
      <c r="BN30" s="123">
        <f>6920.96+489.18</f>
        <v>7410.14</v>
      </c>
      <c r="BO30" s="123"/>
      <c r="BP30" s="123"/>
      <c r="BQ30" s="123"/>
      <c r="BR30" s="123"/>
      <c r="BS30" s="123"/>
      <c r="BT30" s="123"/>
      <c r="BU30" s="123"/>
      <c r="BV30" s="123"/>
      <c r="BW30" s="123"/>
      <c r="BX30" s="123"/>
      <c r="BY30" s="123"/>
      <c r="BZ30" s="123"/>
      <c r="CA30" s="123"/>
      <c r="CB30" s="123"/>
      <c r="CC30" s="123"/>
      <c r="CD30" s="123"/>
      <c r="CE30" s="123"/>
      <c r="CF30" s="123"/>
      <c r="CG30" s="123"/>
      <c r="CH30" s="123"/>
      <c r="CI30" s="123"/>
      <c r="CJ30" s="123"/>
      <c r="CK30" s="123"/>
      <c r="CL30" s="123"/>
    </row>
    <row r="31" spans="1:90" s="121" customFormat="1" ht="12.75" customHeight="1">
      <c r="A31" s="119" t="s">
        <v>145</v>
      </c>
      <c r="B31" s="122" t="s">
        <v>152</v>
      </c>
      <c r="C31" s="122"/>
      <c r="D31" s="122"/>
      <c r="E31" s="127"/>
      <c r="F31" s="155">
        <f>SUM(G31:CL31)</f>
        <v>10157812.269999998</v>
      </c>
      <c r="G31" s="151">
        <v>234542.75</v>
      </c>
      <c r="H31" s="120">
        <v>325116.09999999998</v>
      </c>
      <c r="I31" s="120">
        <f>40778.5+14608.61</f>
        <v>55387.11</v>
      </c>
      <c r="J31" s="123">
        <v>454359.53</v>
      </c>
      <c r="K31" s="123">
        <v>32305.71</v>
      </c>
      <c r="L31" s="123">
        <v>54995.89</v>
      </c>
      <c r="M31" s="123">
        <v>255830.75</v>
      </c>
      <c r="N31" s="123">
        <v>258013.29</v>
      </c>
      <c r="O31" s="123">
        <v>5899.04</v>
      </c>
      <c r="P31" s="123">
        <f>35950.14+53509.29</f>
        <v>89459.43</v>
      </c>
      <c r="Q31" s="123">
        <f>84655.79+8802.23</f>
        <v>93458.01999999999</v>
      </c>
      <c r="R31" s="123">
        <f>81556.99+41039.99</f>
        <v>122596.98000000001</v>
      </c>
      <c r="S31" s="123">
        <v>66207.149999999994</v>
      </c>
      <c r="T31" s="123">
        <f>96278.84+33726.42</f>
        <v>130005.26</v>
      </c>
      <c r="U31" s="123">
        <f>45977.47+7927.15</f>
        <v>53904.62</v>
      </c>
      <c r="V31" s="123">
        <f>32254.24+6959.42</f>
        <v>39213.660000000003</v>
      </c>
      <c r="W31" s="123">
        <v>29268.69</v>
      </c>
      <c r="X31" s="123">
        <v>64662.9</v>
      </c>
      <c r="Y31" s="123">
        <v>128965.47</v>
      </c>
      <c r="Z31" s="123">
        <v>304886.43</v>
      </c>
      <c r="AA31" s="123">
        <v>63015.7</v>
      </c>
      <c r="AB31" s="123">
        <v>351090.39</v>
      </c>
      <c r="AC31" s="123">
        <v>344985.45</v>
      </c>
      <c r="AD31" s="123">
        <v>349041.68</v>
      </c>
      <c r="AE31" s="123">
        <v>261256.22</v>
      </c>
      <c r="AF31" s="123">
        <v>42260.98</v>
      </c>
      <c r="AG31" s="123">
        <v>36856.1</v>
      </c>
      <c r="AH31" s="123">
        <f>47923.23+19251.65</f>
        <v>67174.880000000005</v>
      </c>
      <c r="AI31" s="123">
        <v>77325.75</v>
      </c>
      <c r="AJ31" s="123">
        <v>65517.38</v>
      </c>
      <c r="AK31" s="123">
        <v>270337.59000000003</v>
      </c>
      <c r="AL31" s="123">
        <v>284522.92</v>
      </c>
      <c r="AM31" s="123">
        <v>106347.35</v>
      </c>
      <c r="AN31" s="123">
        <v>157801.76</v>
      </c>
      <c r="AO31" s="123">
        <v>186205.67</v>
      </c>
      <c r="AP31" s="123">
        <f>30133.47+22381.33</f>
        <v>52514.8</v>
      </c>
      <c r="AQ31" s="123">
        <v>107860.72</v>
      </c>
      <c r="AR31" s="123">
        <v>200165.69</v>
      </c>
      <c r="AS31" s="123">
        <v>158295.92000000001</v>
      </c>
      <c r="AT31" s="123">
        <v>116837.96</v>
      </c>
      <c r="AU31" s="123">
        <v>120605.93</v>
      </c>
      <c r="AV31" s="123">
        <v>63561.33</v>
      </c>
      <c r="AW31" s="123">
        <v>347240.06</v>
      </c>
      <c r="AX31" s="123">
        <f>164318.5+19684.04</f>
        <v>184002.54</v>
      </c>
      <c r="AY31" s="123">
        <v>557649.27</v>
      </c>
      <c r="AZ31" s="123">
        <v>284636.15999999997</v>
      </c>
      <c r="BA31" s="123">
        <v>278953.32</v>
      </c>
      <c r="BB31" s="123">
        <v>672726.78</v>
      </c>
      <c r="BC31" s="123">
        <v>250878.86</v>
      </c>
      <c r="BD31" s="123">
        <v>208267.85</v>
      </c>
      <c r="BE31" s="123">
        <v>150893.82</v>
      </c>
      <c r="BF31" s="123">
        <v>409143.89</v>
      </c>
      <c r="BG31" s="123">
        <f>60452.24+8719.87</f>
        <v>69172.11</v>
      </c>
      <c r="BH31" s="123">
        <v>154970.64000000001</v>
      </c>
      <c r="BI31" s="123">
        <v>55654.77</v>
      </c>
      <c r="BJ31" s="123">
        <f>25428.65+21012.1</f>
        <v>46440.75</v>
      </c>
      <c r="BK31" s="123">
        <f>46986.38+1080.98</f>
        <v>48067.360000000001</v>
      </c>
      <c r="BL31" s="123">
        <f>32913.12+14320.35</f>
        <v>47233.47</v>
      </c>
      <c r="BM31" s="123">
        <f>32933.71+10006.74</f>
        <v>42940.45</v>
      </c>
      <c r="BN31" s="123">
        <f>61903.84+4375.38</f>
        <v>66279.22</v>
      </c>
      <c r="BO31" s="123"/>
      <c r="BP31" s="123"/>
      <c r="BQ31" s="123"/>
      <c r="BR31" s="123"/>
      <c r="BS31" s="123"/>
      <c r="BT31" s="123"/>
      <c r="BU31" s="123"/>
      <c r="BV31" s="123"/>
      <c r="BW31" s="123"/>
      <c r="BX31" s="123"/>
      <c r="BY31" s="123"/>
      <c r="BZ31" s="123"/>
      <c r="CA31" s="123"/>
      <c r="CB31" s="123"/>
      <c r="CC31" s="123"/>
      <c r="CD31" s="123"/>
      <c r="CE31" s="123"/>
      <c r="CF31" s="123"/>
      <c r="CG31" s="123"/>
      <c r="CH31" s="123"/>
      <c r="CI31" s="123"/>
      <c r="CJ31" s="123"/>
      <c r="CK31" s="123"/>
      <c r="CL31" s="123"/>
    </row>
    <row r="32" spans="1:90" s="121" customFormat="1" ht="12.75" customHeight="1">
      <c r="A32" s="119" t="s">
        <v>256</v>
      </c>
      <c r="B32" s="122" t="s">
        <v>259</v>
      </c>
      <c r="C32" s="122"/>
      <c r="D32" s="122"/>
      <c r="E32" s="127"/>
      <c r="F32" s="155"/>
      <c r="G32" s="151">
        <v>6356.23</v>
      </c>
      <c r="H32" s="160">
        <v>8810.82</v>
      </c>
      <c r="I32" s="160">
        <f>1105.12+395.9</f>
        <v>1501.02</v>
      </c>
      <c r="J32" s="123">
        <v>12313.39</v>
      </c>
      <c r="K32" s="123">
        <v>875.5</v>
      </c>
      <c r="L32" s="123">
        <v>1490.42</v>
      </c>
      <c r="M32" s="123">
        <v>6933.15</v>
      </c>
      <c r="N32" s="123">
        <v>6992.3</v>
      </c>
      <c r="O32" s="123">
        <v>159.87</v>
      </c>
      <c r="P32" s="123">
        <f>974.27+1450.13</f>
        <v>2424.4</v>
      </c>
      <c r="Q32" s="123">
        <f>2294.22+238.55</f>
        <v>2532.77</v>
      </c>
      <c r="R32" s="123">
        <f>2210.24+1112.21</f>
        <v>3322.45</v>
      </c>
      <c r="S32" s="123">
        <v>1794.25</v>
      </c>
      <c r="T32" s="123">
        <f>2609.21+914</f>
        <v>3523.21</v>
      </c>
      <c r="U32" s="123">
        <f>1246.01+214.83</f>
        <v>1460.84</v>
      </c>
      <c r="V32" s="123">
        <f>874.11+188.6</f>
        <v>1062.71</v>
      </c>
      <c r="W32" s="123">
        <v>793.2</v>
      </c>
      <c r="X32" s="123">
        <v>1752.4</v>
      </c>
      <c r="Y32" s="123">
        <v>3495.03</v>
      </c>
      <c r="Z32" s="123">
        <v>8262.59</v>
      </c>
      <c r="AA32" s="123">
        <v>1707.76</v>
      </c>
      <c r="AB32" s="123">
        <v>9514.74</v>
      </c>
      <c r="AC32" s="123">
        <v>9349.2900000000009</v>
      </c>
      <c r="AD32" s="123">
        <v>9459.2199999999993</v>
      </c>
      <c r="AE32" s="123">
        <v>7080.18</v>
      </c>
      <c r="AF32" s="123">
        <v>1145.3</v>
      </c>
      <c r="AG32" s="123">
        <v>998.82</v>
      </c>
      <c r="AH32" s="123">
        <f>1298.75+521.73</f>
        <v>1820.48</v>
      </c>
      <c r="AI32" s="123">
        <v>2095.5700000000002</v>
      </c>
      <c r="AJ32" s="123">
        <v>1775.56</v>
      </c>
      <c r="AK32" s="123">
        <v>7327.38</v>
      </c>
      <c r="AL32" s="123">
        <v>7710.72</v>
      </c>
      <c r="AM32" s="123">
        <v>2882.07</v>
      </c>
      <c r="AN32" s="123">
        <v>4276.51</v>
      </c>
      <c r="AO32" s="123">
        <v>5046.2700000000004</v>
      </c>
      <c r="AP32" s="123">
        <f>816.63+606.55</f>
        <v>1423.1799999999998</v>
      </c>
      <c r="AQ32" s="123">
        <v>2923.08</v>
      </c>
      <c r="AR32" s="123">
        <v>5424.6</v>
      </c>
      <c r="AS32" s="123">
        <v>4289.8999999999996</v>
      </c>
      <c r="AT32" s="123">
        <v>3166.37</v>
      </c>
      <c r="AU32" s="123">
        <v>3268.49</v>
      </c>
      <c r="AV32" s="123">
        <v>1722.55</v>
      </c>
      <c r="AW32" s="123">
        <v>9410.39</v>
      </c>
      <c r="AX32" s="123">
        <f>4453.12+533.45</f>
        <v>4986.57</v>
      </c>
      <c r="AY32" s="123">
        <v>15112.59</v>
      </c>
      <c r="AZ32" s="123">
        <v>7713.79</v>
      </c>
      <c r="BA32" s="123">
        <v>7559.78</v>
      </c>
      <c r="BB32" s="123">
        <v>18231.259999999998</v>
      </c>
      <c r="BC32" s="123">
        <v>6798.95</v>
      </c>
      <c r="BD32" s="123">
        <v>5644.17</v>
      </c>
      <c r="BE32" s="123">
        <v>4089.3</v>
      </c>
      <c r="BF32" s="123">
        <v>11088.02</v>
      </c>
      <c r="BG32" s="123">
        <f>1638.29+236.31</f>
        <v>1874.6</v>
      </c>
      <c r="BH32" s="123">
        <v>4199.79</v>
      </c>
      <c r="BI32" s="123">
        <v>1508.27</v>
      </c>
      <c r="BJ32" s="123">
        <f>689.13+569.44</f>
        <v>1258.5700000000002</v>
      </c>
      <c r="BK32" s="123">
        <v>29.3</v>
      </c>
      <c r="BL32" s="123">
        <f>891.96+388.09</f>
        <v>1280.05</v>
      </c>
      <c r="BM32" s="123">
        <f>892.52+271.19</f>
        <v>1163.71</v>
      </c>
      <c r="BN32" s="123">
        <f>1677.63+118.58</f>
        <v>1796.21</v>
      </c>
      <c r="BO32" s="123"/>
      <c r="BP32" s="123"/>
      <c r="BQ32" s="123"/>
      <c r="BR32" s="123"/>
      <c r="BS32" s="123"/>
      <c r="BT32" s="123"/>
      <c r="BU32" s="123"/>
      <c r="BV32" s="123"/>
      <c r="BW32" s="123"/>
      <c r="BX32" s="123"/>
      <c r="BY32" s="123"/>
      <c r="BZ32" s="123"/>
      <c r="CA32" s="123"/>
      <c r="CB32" s="123"/>
      <c r="CC32" s="123"/>
      <c r="CD32" s="123"/>
      <c r="CE32" s="123"/>
      <c r="CF32" s="123"/>
      <c r="CG32" s="123"/>
      <c r="CH32" s="123"/>
      <c r="CI32" s="123"/>
      <c r="CJ32" s="123"/>
      <c r="CK32" s="123"/>
      <c r="CL32" s="123"/>
    </row>
    <row r="33" spans="1:90" s="124" customFormat="1" ht="12.75" customHeight="1">
      <c r="A33" s="134" t="s">
        <v>134</v>
      </c>
      <c r="B33" s="135" t="s">
        <v>253</v>
      </c>
      <c r="C33" s="135"/>
      <c r="D33" s="135"/>
      <c r="E33" s="136"/>
      <c r="F33" s="155">
        <f>SUM(G33:CL33)</f>
        <v>4260476.0199999996</v>
      </c>
      <c r="G33" s="152">
        <v>98373.54</v>
      </c>
      <c r="H33" s="125">
        <v>136362.44</v>
      </c>
      <c r="I33" s="125">
        <f>17103.6+6127.24</f>
        <v>23230.839999999997</v>
      </c>
      <c r="J33" s="125">
        <v>190570.61</v>
      </c>
      <c r="K33" s="125">
        <v>13549.88</v>
      </c>
      <c r="L33" s="125">
        <v>23066.76</v>
      </c>
      <c r="M33" s="125">
        <v>107302.3</v>
      </c>
      <c r="N33" s="125">
        <v>108217.72</v>
      </c>
      <c r="O33" s="125">
        <v>2474.21</v>
      </c>
      <c r="P33" s="125">
        <f>15078+22443.24</f>
        <v>37521.240000000005</v>
      </c>
      <c r="Q33" s="125">
        <f>35506.91+3691.89</f>
        <v>39198.800000000003</v>
      </c>
      <c r="R33" s="125">
        <f>34207.2+17213.28</f>
        <v>51420.479999999996</v>
      </c>
      <c r="S33" s="125">
        <v>27769.06</v>
      </c>
      <c r="T33" s="125">
        <f>40381.94+14145.77</f>
        <v>54527.710000000006</v>
      </c>
      <c r="U33" s="125">
        <f>19284.19+3324.86</f>
        <v>22609.05</v>
      </c>
      <c r="V33" s="125">
        <f>13528.29+2918.97</f>
        <v>16447.260000000002</v>
      </c>
      <c r="W33" s="125">
        <v>12276.07</v>
      </c>
      <c r="X33" s="125">
        <v>27121.360000000001</v>
      </c>
      <c r="Y33" s="125">
        <v>54091.59</v>
      </c>
      <c r="Z33" s="125">
        <v>127877.57</v>
      </c>
      <c r="AA33" s="125">
        <v>26430.48</v>
      </c>
      <c r="AB33" s="125">
        <v>147256.75</v>
      </c>
      <c r="AC33" s="125">
        <v>144696.18</v>
      </c>
      <c r="AD33" s="125">
        <v>146397.47</v>
      </c>
      <c r="AE33" s="125">
        <v>109577.89</v>
      </c>
      <c r="AF33" s="125">
        <v>17725.39</v>
      </c>
      <c r="AG33" s="125">
        <v>15458.44</v>
      </c>
      <c r="AH33" s="125">
        <f>20100.26+8074.66</f>
        <v>28174.92</v>
      </c>
      <c r="AI33" s="125">
        <v>32432.5</v>
      </c>
      <c r="AJ33" s="125">
        <v>27479.75</v>
      </c>
      <c r="AK33" s="125">
        <v>113403.63</v>
      </c>
      <c r="AL33" s="125">
        <v>119336.57</v>
      </c>
      <c r="AM33" s="125">
        <v>44604.94</v>
      </c>
      <c r="AN33" s="125">
        <v>66186.3</v>
      </c>
      <c r="AO33" s="125">
        <v>78099.67</v>
      </c>
      <c r="AP33" s="125">
        <f>12638.79+9387.33</f>
        <v>22026.120000000003</v>
      </c>
      <c r="AQ33" s="125">
        <v>45239.69</v>
      </c>
      <c r="AR33" s="125">
        <v>83954.87</v>
      </c>
      <c r="AS33" s="125">
        <v>66393.570000000007</v>
      </c>
      <c r="AT33" s="125">
        <v>49004.98</v>
      </c>
      <c r="AU33" s="125">
        <v>50585.37</v>
      </c>
      <c r="AV33" s="125">
        <v>26659.33</v>
      </c>
      <c r="AW33" s="125">
        <v>145641.82</v>
      </c>
      <c r="AX33" s="125">
        <f>68919.6+8256.02</f>
        <v>77175.62000000001</v>
      </c>
      <c r="AY33" s="125">
        <v>233893.11</v>
      </c>
      <c r="AZ33" s="125">
        <v>119384.06</v>
      </c>
      <c r="BA33" s="125">
        <v>117000.53</v>
      </c>
      <c r="BB33" s="125">
        <v>282159.71000000002</v>
      </c>
      <c r="BC33" s="125">
        <v>105225.34</v>
      </c>
      <c r="BD33" s="125">
        <v>87353.14</v>
      </c>
      <c r="BE33" s="125">
        <v>63288.93</v>
      </c>
      <c r="BF33" s="125">
        <v>171605.96</v>
      </c>
      <c r="BG33" s="125">
        <f>25355.3+3657.35</f>
        <v>29012.649999999998</v>
      </c>
      <c r="BH33" s="125">
        <v>64998.85</v>
      </c>
      <c r="BI33" s="125">
        <v>23343.11</v>
      </c>
      <c r="BJ33" s="125">
        <f>10665.46+8813.04</f>
        <v>19478.5</v>
      </c>
      <c r="BK33" s="125">
        <f>19707.35+453.39</f>
        <v>20160.739999999998</v>
      </c>
      <c r="BL33" s="125">
        <f>13804.65+6006.34</f>
        <v>19810.989999999998</v>
      </c>
      <c r="BM33" s="125">
        <f>13813.28+4197.1</f>
        <v>18010.38</v>
      </c>
      <c r="BN33" s="125">
        <f>25964.13+1835.15</f>
        <v>27799.280000000002</v>
      </c>
      <c r="BO33" s="125"/>
      <c r="BP33" s="125"/>
      <c r="BQ33" s="125"/>
      <c r="BR33" s="125"/>
      <c r="BS33" s="125"/>
      <c r="BT33" s="125"/>
      <c r="BU33" s="125"/>
      <c r="BV33" s="125"/>
      <c r="BW33" s="125"/>
      <c r="BX33" s="125"/>
      <c r="BY33" s="125"/>
      <c r="BZ33" s="125"/>
      <c r="CA33" s="125"/>
      <c r="CB33" s="125"/>
      <c r="CC33" s="125"/>
      <c r="CD33" s="125"/>
      <c r="CE33" s="125"/>
      <c r="CF33" s="125"/>
      <c r="CG33" s="125"/>
      <c r="CH33" s="125"/>
      <c r="CI33" s="125"/>
      <c r="CJ33" s="125"/>
      <c r="CK33" s="125"/>
      <c r="CL33" s="125"/>
    </row>
    <row r="34" spans="1:90" ht="15" customHeight="1">
      <c r="A34" s="226"/>
      <c r="B34" s="227"/>
      <c r="C34" s="227"/>
      <c r="D34" s="227"/>
      <c r="E34" s="227"/>
      <c r="F34" s="228"/>
      <c r="G34" s="228"/>
      <c r="H34" s="228"/>
      <c r="I34" s="228"/>
      <c r="J34" s="228"/>
      <c r="K34" s="228"/>
      <c r="L34" s="228"/>
      <c r="M34" s="228"/>
      <c r="N34" s="228"/>
      <c r="O34" s="228"/>
      <c r="P34" s="228"/>
      <c r="Q34" s="228"/>
      <c r="R34" s="228"/>
      <c r="S34" s="228"/>
      <c r="T34" s="228"/>
      <c r="U34" s="228"/>
      <c r="V34" s="228"/>
      <c r="W34" s="228"/>
      <c r="X34" s="228"/>
      <c r="Y34" s="228"/>
      <c r="Z34" s="228"/>
      <c r="AA34" s="228"/>
      <c r="AB34" s="228"/>
      <c r="AC34" s="228"/>
      <c r="AD34" s="228"/>
      <c r="AE34" s="228"/>
      <c r="AF34" s="228"/>
      <c r="AG34" s="228"/>
      <c r="AH34" s="228"/>
      <c r="AI34" s="228"/>
      <c r="AJ34" s="228"/>
      <c r="AK34" s="228"/>
      <c r="AL34" s="228"/>
      <c r="AM34" s="228"/>
      <c r="AN34" s="228"/>
      <c r="AO34" s="228"/>
      <c r="AP34" s="228"/>
      <c r="AQ34" s="228"/>
      <c r="AR34" s="228"/>
      <c r="AS34" s="228"/>
      <c r="AT34" s="228"/>
      <c r="AU34" s="228"/>
      <c r="AV34" s="228"/>
      <c r="AW34" s="228"/>
      <c r="AX34" s="228"/>
      <c r="AY34" s="228"/>
      <c r="AZ34" s="228"/>
      <c r="BA34" s="228"/>
      <c r="BB34" s="228"/>
      <c r="BC34" s="228"/>
      <c r="BD34" s="228"/>
      <c r="BE34" s="228"/>
      <c r="BF34" s="228"/>
      <c r="BG34" s="228"/>
      <c r="BH34" s="228"/>
      <c r="BI34" s="228"/>
      <c r="BJ34" s="228"/>
      <c r="BK34" s="228"/>
      <c r="BL34" s="228"/>
      <c r="BM34" s="228"/>
      <c r="BN34" s="228"/>
      <c r="BO34" s="228"/>
      <c r="BP34" s="228"/>
      <c r="BQ34" s="228"/>
      <c r="BR34" s="228"/>
      <c r="BS34" s="228"/>
      <c r="BT34" s="228"/>
      <c r="BU34" s="228"/>
      <c r="BV34" s="228"/>
      <c r="BW34" s="228"/>
      <c r="BX34" s="228"/>
      <c r="BY34" s="228"/>
      <c r="BZ34" s="228"/>
      <c r="CA34" s="228"/>
      <c r="CB34" s="228"/>
      <c r="CC34" s="228"/>
      <c r="CD34" s="228"/>
      <c r="CE34" s="228"/>
      <c r="CF34" s="228"/>
      <c r="CG34" s="228"/>
      <c r="CH34" s="228"/>
      <c r="CI34" s="228"/>
      <c r="CJ34" s="228"/>
      <c r="CK34" s="228"/>
      <c r="CL34" s="228"/>
    </row>
    <row r="35" spans="1:90" ht="18.75" customHeight="1">
      <c r="A35" s="227"/>
      <c r="B35" s="227"/>
      <c r="C35" s="227"/>
      <c r="D35" s="227"/>
      <c r="E35" s="227"/>
      <c r="F35" s="229"/>
      <c r="G35" s="229"/>
      <c r="H35" s="229"/>
      <c r="I35" s="229"/>
      <c r="J35" s="229"/>
      <c r="K35" s="229"/>
      <c r="L35" s="229"/>
      <c r="M35" s="229"/>
      <c r="N35" s="229"/>
      <c r="O35" s="229"/>
      <c r="P35" s="229"/>
      <c r="Q35" s="229"/>
      <c r="R35" s="229"/>
      <c r="S35" s="229"/>
      <c r="T35" s="229"/>
      <c r="U35" s="229"/>
      <c r="V35" s="229"/>
      <c r="W35" s="229"/>
      <c r="X35" s="229"/>
      <c r="Y35" s="229"/>
      <c r="Z35" s="229"/>
      <c r="AA35" s="229"/>
      <c r="AB35" s="229"/>
      <c r="AC35" s="229"/>
      <c r="AD35" s="229"/>
      <c r="AE35" s="229"/>
      <c r="AF35" s="229"/>
      <c r="AG35" s="229"/>
      <c r="AH35" s="229"/>
      <c r="AI35" s="229"/>
      <c r="AJ35" s="229"/>
      <c r="AK35" s="229"/>
      <c r="AL35" s="229"/>
      <c r="AM35" s="229"/>
      <c r="AN35" s="229"/>
      <c r="AO35" s="229"/>
      <c r="AP35" s="229"/>
      <c r="AQ35" s="229"/>
      <c r="AR35" s="229"/>
      <c r="AS35" s="229"/>
      <c r="AT35" s="229"/>
      <c r="AU35" s="229"/>
      <c r="AV35" s="229"/>
      <c r="AW35" s="229"/>
      <c r="AX35" s="229"/>
      <c r="AY35" s="229"/>
      <c r="AZ35" s="229"/>
      <c r="BA35" s="229"/>
      <c r="BB35" s="229"/>
      <c r="BC35" s="229"/>
      <c r="BD35" s="229"/>
      <c r="BE35" s="229"/>
      <c r="BF35" s="229"/>
      <c r="BG35" s="229"/>
      <c r="BH35" s="229"/>
      <c r="BI35" s="229"/>
      <c r="BJ35" s="229"/>
      <c r="BK35" s="229"/>
      <c r="BL35" s="229"/>
      <c r="BM35" s="229"/>
      <c r="BN35" s="229"/>
      <c r="BO35" s="229"/>
      <c r="BP35" s="229"/>
      <c r="BQ35" s="229"/>
      <c r="BR35" s="229"/>
      <c r="BS35" s="229"/>
      <c r="BT35" s="229"/>
      <c r="BU35" s="229"/>
      <c r="BV35" s="229"/>
      <c r="BW35" s="229"/>
      <c r="BX35" s="229"/>
      <c r="BY35" s="229"/>
      <c r="BZ35" s="229"/>
      <c r="CA35" s="229"/>
      <c r="CB35" s="229"/>
      <c r="CC35" s="229"/>
      <c r="CD35" s="229"/>
      <c r="CE35" s="229"/>
      <c r="CF35" s="229"/>
      <c r="CG35" s="229"/>
      <c r="CH35" s="229"/>
      <c r="CI35" s="229"/>
      <c r="CJ35" s="229"/>
      <c r="CK35" s="229"/>
      <c r="CL35" s="229"/>
    </row>
  </sheetData>
  <mergeCells count="265">
    <mergeCell ref="CK34:CK35"/>
    <mergeCell ref="CL34:CL35"/>
    <mergeCell ref="CE34:CE35"/>
    <mergeCell ref="CF34:CF35"/>
    <mergeCell ref="CG34:CG35"/>
    <mergeCell ref="CH34:CH35"/>
    <mergeCell ref="BV34:BV35"/>
    <mergeCell ref="BW34:BW35"/>
    <mergeCell ref="BX34:BX35"/>
    <mergeCell ref="BY34:BY35"/>
    <mergeCell ref="CI34:CI35"/>
    <mergeCell ref="CJ34:CJ35"/>
    <mergeCell ref="BZ34:BZ35"/>
    <mergeCell ref="CA34:CA35"/>
    <mergeCell ref="CB34:CB35"/>
    <mergeCell ref="CC34:CC35"/>
    <mergeCell ref="CD34:CD35"/>
    <mergeCell ref="BM34:BM35"/>
    <mergeCell ref="BN34:BN35"/>
    <mergeCell ref="BO34:BO35"/>
    <mergeCell ref="BP34:BP35"/>
    <mergeCell ref="BQ34:BQ35"/>
    <mergeCell ref="BR34:BR35"/>
    <mergeCell ref="BS34:BS35"/>
    <mergeCell ref="BT34:BT35"/>
    <mergeCell ref="BU34:BU35"/>
    <mergeCell ref="BD34:BD35"/>
    <mergeCell ref="BE34:BE35"/>
    <mergeCell ref="BF34:BF35"/>
    <mergeCell ref="BG34:BG35"/>
    <mergeCell ref="BH34:BH35"/>
    <mergeCell ref="BI34:BI35"/>
    <mergeCell ref="BJ34:BJ35"/>
    <mergeCell ref="BK34:BK35"/>
    <mergeCell ref="BL34:BL35"/>
    <mergeCell ref="AZ34:AZ35"/>
    <mergeCell ref="BA34:BA35"/>
    <mergeCell ref="BB34:BB35"/>
    <mergeCell ref="BC34:BC35"/>
    <mergeCell ref="AT34:AT35"/>
    <mergeCell ref="AU34:AU35"/>
    <mergeCell ref="AV34:AV35"/>
    <mergeCell ref="AW34:AW35"/>
    <mergeCell ref="AX34:AX35"/>
    <mergeCell ref="AJ34:AJ35"/>
    <mergeCell ref="AK34:AK35"/>
    <mergeCell ref="AL34:AL35"/>
    <mergeCell ref="AM34:AM35"/>
    <mergeCell ref="AY34:AY35"/>
    <mergeCell ref="AN34:AN35"/>
    <mergeCell ref="AO34:AO35"/>
    <mergeCell ref="AP34:AP35"/>
    <mergeCell ref="AQ34:AQ35"/>
    <mergeCell ref="AR34:AR35"/>
    <mergeCell ref="AS34:AS35"/>
    <mergeCell ref="AA34:AA35"/>
    <mergeCell ref="AB34:AB35"/>
    <mergeCell ref="AC34:AC35"/>
    <mergeCell ref="AD34:AD35"/>
    <mergeCell ref="AE34:AE35"/>
    <mergeCell ref="AF34:AF35"/>
    <mergeCell ref="AG34:AG35"/>
    <mergeCell ref="AH34:AH35"/>
    <mergeCell ref="AI34:AI35"/>
    <mergeCell ref="CJ27:CJ28"/>
    <mergeCell ref="CK27:CK28"/>
    <mergeCell ref="CL27:CL28"/>
    <mergeCell ref="CD27:CD28"/>
    <mergeCell ref="CE27:CE28"/>
    <mergeCell ref="CF27:CF28"/>
    <mergeCell ref="CG27:CG28"/>
    <mergeCell ref="J34:J35"/>
    <mergeCell ref="K34:K35"/>
    <mergeCell ref="L34:L35"/>
    <mergeCell ref="M34:M35"/>
    <mergeCell ref="N34:N35"/>
    <mergeCell ref="O34:O35"/>
    <mergeCell ref="P34:P35"/>
    <mergeCell ref="Q34:Q35"/>
    <mergeCell ref="R34:R35"/>
    <mergeCell ref="S34:S35"/>
    <mergeCell ref="T34:T35"/>
    <mergeCell ref="U34:U35"/>
    <mergeCell ref="V34:V35"/>
    <mergeCell ref="W34:W35"/>
    <mergeCell ref="X34:X35"/>
    <mergeCell ref="Y34:Y35"/>
    <mergeCell ref="Z34:Z35"/>
    <mergeCell ref="BU27:BU28"/>
    <mergeCell ref="BV27:BV28"/>
    <mergeCell ref="BW27:BW28"/>
    <mergeCell ref="BX27:BX28"/>
    <mergeCell ref="CH27:CH28"/>
    <mergeCell ref="CI27:CI28"/>
    <mergeCell ref="BY27:BY28"/>
    <mergeCell ref="BZ27:BZ28"/>
    <mergeCell ref="CA27:CA28"/>
    <mergeCell ref="CB27:CB28"/>
    <mergeCell ref="CC27:CC28"/>
    <mergeCell ref="BL27:BL28"/>
    <mergeCell ref="BM27:BM28"/>
    <mergeCell ref="BN27:BN28"/>
    <mergeCell ref="BO27:BO28"/>
    <mergeCell ref="BP27:BP28"/>
    <mergeCell ref="BQ27:BQ28"/>
    <mergeCell ref="BR27:BR28"/>
    <mergeCell ref="BS27:BS28"/>
    <mergeCell ref="BT27:BT28"/>
    <mergeCell ref="BC27:BC28"/>
    <mergeCell ref="BD27:BD28"/>
    <mergeCell ref="BE27:BE28"/>
    <mergeCell ref="BF27:BF28"/>
    <mergeCell ref="BG27:BG28"/>
    <mergeCell ref="BH27:BH28"/>
    <mergeCell ref="BI27:BI28"/>
    <mergeCell ref="BJ27:BJ28"/>
    <mergeCell ref="BK27:BK28"/>
    <mergeCell ref="AY27:AY28"/>
    <mergeCell ref="AZ27:AZ28"/>
    <mergeCell ref="BA27:BA28"/>
    <mergeCell ref="BB27:BB28"/>
    <mergeCell ref="AS27:AS28"/>
    <mergeCell ref="AT27:AT28"/>
    <mergeCell ref="AU27:AU28"/>
    <mergeCell ref="AV27:AV28"/>
    <mergeCell ref="AW27:AW28"/>
    <mergeCell ref="AH27:AH28"/>
    <mergeCell ref="AI27:AI28"/>
    <mergeCell ref="AJ27:AJ28"/>
    <mergeCell ref="AK27:AK28"/>
    <mergeCell ref="AL27:AL28"/>
    <mergeCell ref="AX27:AX28"/>
    <mergeCell ref="AM27:AM28"/>
    <mergeCell ref="AN27:AN28"/>
    <mergeCell ref="AO27:AO28"/>
    <mergeCell ref="AP27:AP28"/>
    <mergeCell ref="AQ27:AQ28"/>
    <mergeCell ref="AR27:AR28"/>
    <mergeCell ref="Y27:Y28"/>
    <mergeCell ref="Z27:Z28"/>
    <mergeCell ref="AA27:AA28"/>
    <mergeCell ref="AB27:AB28"/>
    <mergeCell ref="AC27:AC28"/>
    <mergeCell ref="AD27:AD28"/>
    <mergeCell ref="AE27:AE28"/>
    <mergeCell ref="AF27:AF28"/>
    <mergeCell ref="AG27:AG28"/>
    <mergeCell ref="P27:P28"/>
    <mergeCell ref="Q27:Q28"/>
    <mergeCell ref="R27:R28"/>
    <mergeCell ref="S27:S28"/>
    <mergeCell ref="T27:T28"/>
    <mergeCell ref="U27:U28"/>
    <mergeCell ref="V27:V28"/>
    <mergeCell ref="W27:W28"/>
    <mergeCell ref="X27:X28"/>
    <mergeCell ref="A1:F1"/>
    <mergeCell ref="B27:E28"/>
    <mergeCell ref="B8:E8"/>
    <mergeCell ref="A5:A7"/>
    <mergeCell ref="B5:E7"/>
    <mergeCell ref="F27:F28"/>
    <mergeCell ref="B22:E22"/>
    <mergeCell ref="A2:F3"/>
    <mergeCell ref="A27:A28"/>
    <mergeCell ref="F5:F7"/>
    <mergeCell ref="B21:E21"/>
    <mergeCell ref="BZ5:BZ7"/>
    <mergeCell ref="BY5:BY7"/>
    <mergeCell ref="BW5:BW7"/>
    <mergeCell ref="BX5:BX7"/>
    <mergeCell ref="CH5:CH7"/>
    <mergeCell ref="CI5:CI7"/>
    <mergeCell ref="CK5:CK7"/>
    <mergeCell ref="CL5:CL7"/>
    <mergeCell ref="CA5:CA7"/>
    <mergeCell ref="CB5:CB7"/>
    <mergeCell ref="CC5:CC7"/>
    <mergeCell ref="CJ5:CJ7"/>
    <mergeCell ref="CD5:CD7"/>
    <mergeCell ref="CE5:CE7"/>
    <mergeCell ref="CF5:CF7"/>
    <mergeCell ref="CG5:CG7"/>
    <mergeCell ref="BI5:BI7"/>
    <mergeCell ref="BJ5:BJ7"/>
    <mergeCell ref="BO5:BO7"/>
    <mergeCell ref="BP5:BP7"/>
    <mergeCell ref="BQ5:BQ7"/>
    <mergeCell ref="BS5:BS7"/>
    <mergeCell ref="BT5:BT7"/>
    <mergeCell ref="BU5:BU7"/>
    <mergeCell ref="BV5:BV7"/>
    <mergeCell ref="BR5:BR7"/>
    <mergeCell ref="BK5:BK7"/>
    <mergeCell ref="BL5:BL7"/>
    <mergeCell ref="BM5:BM7"/>
    <mergeCell ref="BN5:BN7"/>
    <mergeCell ref="BD5:BD7"/>
    <mergeCell ref="BE5:BE7"/>
    <mergeCell ref="AY5:AY7"/>
    <mergeCell ref="AZ5:AZ7"/>
    <mergeCell ref="BA5:BA7"/>
    <mergeCell ref="BB5:BB7"/>
    <mergeCell ref="BF5:BF7"/>
    <mergeCell ref="BG5:BG7"/>
    <mergeCell ref="BH5:BH7"/>
    <mergeCell ref="BC5:BC7"/>
    <mergeCell ref="AU5:AU7"/>
    <mergeCell ref="AV5:AV7"/>
    <mergeCell ref="AO5:AO7"/>
    <mergeCell ref="AP5:AP7"/>
    <mergeCell ref="AQ5:AQ7"/>
    <mergeCell ref="AR5:AR7"/>
    <mergeCell ref="AW5:AW7"/>
    <mergeCell ref="AX5:AX7"/>
    <mergeCell ref="AD5:AD7"/>
    <mergeCell ref="AE5:AE7"/>
    <mergeCell ref="AF5:AF7"/>
    <mergeCell ref="AK5:AK7"/>
    <mergeCell ref="AL5:AL7"/>
    <mergeCell ref="AS5:AS7"/>
    <mergeCell ref="AT5:AT7"/>
    <mergeCell ref="AM5:AM7"/>
    <mergeCell ref="AN5:AN7"/>
    <mergeCell ref="AG5:AG7"/>
    <mergeCell ref="AH5:AH7"/>
    <mergeCell ref="AI5:AI7"/>
    <mergeCell ref="AJ5:AJ7"/>
    <mergeCell ref="AA5:AA7"/>
    <mergeCell ref="Z5:Z7"/>
    <mergeCell ref="P5:P7"/>
    <mergeCell ref="Q5:Q7"/>
    <mergeCell ref="AB5:AB7"/>
    <mergeCell ref="R5:R7"/>
    <mergeCell ref="S5:S7"/>
    <mergeCell ref="T5:T7"/>
    <mergeCell ref="U5:U7"/>
    <mergeCell ref="V5:V7"/>
    <mergeCell ref="W5:W7"/>
    <mergeCell ref="X5:X7"/>
    <mergeCell ref="Y5:Y7"/>
    <mergeCell ref="AC5:AC7"/>
    <mergeCell ref="A34:E35"/>
    <mergeCell ref="F34:F35"/>
    <mergeCell ref="G5:G7"/>
    <mergeCell ref="M5:M7"/>
    <mergeCell ref="O5:O7"/>
    <mergeCell ref="I5:I7"/>
    <mergeCell ref="H5:H7"/>
    <mergeCell ref="L5:L7"/>
    <mergeCell ref="J5:J7"/>
    <mergeCell ref="N5:N7"/>
    <mergeCell ref="I27:I28"/>
    <mergeCell ref="J27:J28"/>
    <mergeCell ref="K27:K28"/>
    <mergeCell ref="L27:L28"/>
    <mergeCell ref="M27:M28"/>
    <mergeCell ref="G27:G28"/>
    <mergeCell ref="H27:H28"/>
    <mergeCell ref="N27:N28"/>
    <mergeCell ref="O27:O28"/>
    <mergeCell ref="G34:G35"/>
    <mergeCell ref="H34:H35"/>
    <mergeCell ref="I34:I35"/>
    <mergeCell ref="K5:K7"/>
  </mergeCells>
  <phoneticPr fontId="0" type="noConversion"/>
  <pageMargins left="0.75" right="0.75" top="1" bottom="1" header="0.5" footer="0.5"/>
  <pageSetup paperSize="9" scale="80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Лист1</vt:lpstr>
      <vt:lpstr>Лекомцев</vt:lpstr>
      <vt:lpstr>сравнение по квитанции</vt:lpstr>
      <vt:lpstr>Отчет</vt:lpstr>
      <vt:lpstr>Отчет!Область_печати</vt:lpstr>
      <vt:lpstr>'сравнение по квитанции'!Область_печати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2014-03-18T07:21:03Z</cp:lastPrinted>
  <dcterms:created xsi:type="dcterms:W3CDTF">1996-10-08T23:32:33Z</dcterms:created>
  <dcterms:modified xsi:type="dcterms:W3CDTF">2015-09-10T08:27:47Z</dcterms:modified>
</cp:coreProperties>
</file>